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120" windowWidth="18195" windowHeight="7740"/>
  </bookViews>
  <sheets>
    <sheet name="Main page" sheetId="1" r:id="rId1"/>
    <sheet name="Conversion factors" sheetId="2" r:id="rId2"/>
  </sheets>
  <calcPr calcId="125725"/>
</workbook>
</file>

<file path=xl/calcChain.xml><?xml version="1.0" encoding="utf-8"?>
<calcChain xmlns="http://schemas.openxmlformats.org/spreadsheetml/2006/main">
  <c r="E22" i="1"/>
  <c r="T20"/>
  <c r="T18"/>
  <c r="D22"/>
  <c r="D21"/>
  <c r="D20"/>
  <c r="D19"/>
  <c r="D18"/>
  <c r="B13" i="2"/>
  <c r="M12"/>
  <c r="L13" s="1"/>
  <c r="B12"/>
  <c r="A32" i="1"/>
  <c r="A31"/>
  <c r="A20"/>
  <c r="A21"/>
  <c r="B20"/>
  <c r="B21"/>
  <c r="B18"/>
  <c r="B19"/>
  <c r="A18"/>
  <c r="A19"/>
  <c r="R21"/>
  <c r="R20" s="1"/>
  <c r="R19" s="1"/>
  <c r="B18" i="2"/>
  <c r="F4" s="1"/>
  <c r="R18" i="1" l="1"/>
  <c r="U18" s="1"/>
  <c r="A30"/>
  <c r="U20"/>
  <c r="D6" i="2"/>
  <c r="E2"/>
  <c r="B5" s="1"/>
  <c r="E4"/>
  <c r="D5" s="1"/>
  <c r="D2"/>
  <c r="B4" s="1"/>
  <c r="E3"/>
  <c r="C5" s="1"/>
  <c r="F3"/>
  <c r="C2"/>
  <c r="D3"/>
  <c r="C4" s="1"/>
  <c r="F2"/>
  <c r="A29" i="1" l="1"/>
  <c r="A28" s="1"/>
  <c r="R23"/>
  <c r="B19" i="2" s="1"/>
  <c r="L4"/>
  <c r="M4"/>
  <c r="D13" s="1"/>
  <c r="M5"/>
  <c r="E13" s="1"/>
  <c r="L5"/>
  <c r="R24" i="1"/>
  <c r="B20" i="2" s="1"/>
  <c r="G3" s="1"/>
  <c r="C7" s="1"/>
  <c r="R22" i="1"/>
  <c r="B21" i="2" s="1"/>
  <c r="H2" s="1"/>
  <c r="B8" s="1"/>
  <c r="C6"/>
  <c r="B3"/>
  <c r="B6"/>
  <c r="F5"/>
  <c r="N13" l="1"/>
  <c r="M14" s="1"/>
  <c r="P5"/>
  <c r="E16" s="1"/>
  <c r="P13"/>
  <c r="M16" s="1"/>
  <c r="P4"/>
  <c r="D16" s="1"/>
  <c r="P12"/>
  <c r="L16" s="1"/>
  <c r="O5"/>
  <c r="E15" s="1"/>
  <c r="O13"/>
  <c r="M15" s="1"/>
  <c r="O4"/>
  <c r="D15" s="1"/>
  <c r="O12"/>
  <c r="L15" s="1"/>
  <c r="O2"/>
  <c r="B15" s="1"/>
  <c r="N5"/>
  <c r="E14" s="1"/>
  <c r="N2"/>
  <c r="B14" s="1"/>
  <c r="P2"/>
  <c r="B16" s="1"/>
  <c r="N4"/>
  <c r="D14" s="1"/>
  <c r="N12"/>
  <c r="L14" s="1"/>
  <c r="E12"/>
  <c r="D12"/>
  <c r="J3"/>
  <c r="C10" s="1"/>
  <c r="J7"/>
  <c r="G10" s="1"/>
  <c r="I5"/>
  <c r="E9" s="1"/>
  <c r="I4"/>
  <c r="D9" s="1"/>
  <c r="J6"/>
  <c r="F10" s="1"/>
  <c r="J2"/>
  <c r="B10" s="1"/>
  <c r="K10" s="1"/>
  <c r="J5"/>
  <c r="E10" s="1"/>
  <c r="J4"/>
  <c r="D10" s="1"/>
  <c r="I2"/>
  <c r="B9" s="1"/>
  <c r="M9" s="1"/>
  <c r="O9" s="1"/>
  <c r="L3"/>
  <c r="N3" s="1"/>
  <c r="M3"/>
  <c r="O3" s="1"/>
  <c r="M6"/>
  <c r="O6" s="1"/>
  <c r="L6"/>
  <c r="N6" s="1"/>
  <c r="L8"/>
  <c r="M8"/>
  <c r="O8" s="1"/>
  <c r="G2"/>
  <c r="B7" s="1"/>
  <c r="H7" s="1"/>
  <c r="G8" s="1"/>
  <c r="H4"/>
  <c r="D8" s="1"/>
  <c r="K5"/>
  <c r="E11" s="1"/>
  <c r="K4"/>
  <c r="D11" s="1"/>
  <c r="H5"/>
  <c r="E8" s="1"/>
  <c r="G6"/>
  <c r="F7" s="1"/>
  <c r="K2"/>
  <c r="B11" s="1"/>
  <c r="G4"/>
  <c r="D7" s="1"/>
  <c r="I8"/>
  <c r="H9" s="1"/>
  <c r="K8"/>
  <c r="H11" s="1"/>
  <c r="H3"/>
  <c r="C8" s="1"/>
  <c r="K3"/>
  <c r="C11" s="1"/>
  <c r="I3"/>
  <c r="C9" s="1"/>
  <c r="J9" s="1"/>
  <c r="I10" s="1"/>
  <c r="G5"/>
  <c r="E7" s="1"/>
  <c r="E6"/>
  <c r="K6"/>
  <c r="F11" s="1"/>
  <c r="H6"/>
  <c r="F8" s="1"/>
  <c r="I6"/>
  <c r="F9" s="1"/>
  <c r="P6" l="1"/>
  <c r="F16" s="1"/>
  <c r="J18" i="1" s="1"/>
  <c r="P3" i="2"/>
  <c r="C16" s="1"/>
  <c r="J15" i="1" s="1"/>
  <c r="J17"/>
  <c r="J14"/>
  <c r="P14" i="2"/>
  <c r="N16" s="1"/>
  <c r="O14"/>
  <c r="N15" s="1"/>
  <c r="P15"/>
  <c r="O16" s="1"/>
  <c r="N8"/>
  <c r="H14" s="1"/>
  <c r="P8"/>
  <c r="H16" s="1"/>
  <c r="J16" i="1"/>
  <c r="J25"/>
  <c r="M10" i="2"/>
  <c r="L10"/>
  <c r="K9"/>
  <c r="I11" s="1"/>
  <c r="L9"/>
  <c r="C12"/>
  <c r="C13"/>
  <c r="F13"/>
  <c r="F15"/>
  <c r="F12"/>
  <c r="F14"/>
  <c r="I13"/>
  <c r="I15"/>
  <c r="H12"/>
  <c r="H13"/>
  <c r="H15"/>
  <c r="M11"/>
  <c r="O11" s="1"/>
  <c r="L11"/>
  <c r="I7"/>
  <c r="G9" s="1"/>
  <c r="M7"/>
  <c r="O7" s="1"/>
  <c r="L7"/>
  <c r="K7"/>
  <c r="G11" s="1"/>
  <c r="J11"/>
  <c r="J8"/>
  <c r="J20" i="1" l="1"/>
  <c r="O10" i="2"/>
  <c r="J15" s="1"/>
  <c r="P11"/>
  <c r="K16" s="1"/>
  <c r="N11"/>
  <c r="K14" s="1"/>
  <c r="N10"/>
  <c r="J14" s="1"/>
  <c r="P10"/>
  <c r="J16" s="1"/>
  <c r="J24" i="1"/>
  <c r="N9" i="2"/>
  <c r="P9"/>
  <c r="N7"/>
  <c r="G14" s="1"/>
  <c r="P7"/>
  <c r="G16" s="1"/>
  <c r="J27" i="1"/>
  <c r="J12" i="2"/>
  <c r="I12"/>
  <c r="J13"/>
  <c r="C14"/>
  <c r="C15"/>
  <c r="G13"/>
  <c r="G15"/>
  <c r="G12"/>
  <c r="K15"/>
  <c r="K13"/>
  <c r="K12"/>
  <c r="H10"/>
  <c r="J19" i="1" l="1"/>
  <c r="J23"/>
  <c r="J22"/>
  <c r="I14" i="2"/>
  <c r="J26" i="1"/>
  <c r="I16" i="2"/>
  <c r="J21" i="1" s="1"/>
  <c r="J28"/>
</calcChain>
</file>

<file path=xl/sharedStrings.xml><?xml version="1.0" encoding="utf-8"?>
<sst xmlns="http://schemas.openxmlformats.org/spreadsheetml/2006/main" count="85" uniqueCount="54">
  <si>
    <t>n</t>
  </si>
  <si>
    <t>L</t>
  </si>
  <si>
    <t>W</t>
  </si>
  <si>
    <t>H</t>
  </si>
  <si>
    <t>exponent</t>
  </si>
  <si>
    <t>number of floors</t>
  </si>
  <si>
    <t>N</t>
  </si>
  <si>
    <t>V</t>
  </si>
  <si>
    <t>ft</t>
  </si>
  <si>
    <t>cfm at 75Pa</t>
  </si>
  <si>
    <t>cfm at 25Pa</t>
  </si>
  <si>
    <t>cfm at 50Pa</t>
  </si>
  <si>
    <t>ACH50</t>
  </si>
  <si>
    <t>convert to --&gt;</t>
  </si>
  <si>
    <t>Ae</t>
  </si>
  <si>
    <t>Af</t>
  </si>
  <si>
    <r>
      <t>EfLA (in</t>
    </r>
    <r>
      <rPr>
        <b/>
        <vertAlign val="superscript"/>
        <sz val="11"/>
        <color theme="0"/>
        <rFont val="Calibri"/>
        <family val="2"/>
        <scheme val="minor"/>
      </rPr>
      <t>2</t>
    </r>
    <r>
      <rPr>
        <b/>
        <sz val="11"/>
        <color theme="0"/>
        <rFont val="Calibri"/>
        <family val="2"/>
        <scheme val="minor"/>
      </rPr>
      <t xml:space="preserve"> at 4Pa)</t>
    </r>
  </si>
  <si>
    <r>
      <t>EqLA (in</t>
    </r>
    <r>
      <rPr>
        <b/>
        <vertAlign val="superscript"/>
        <sz val="11"/>
        <color theme="0"/>
        <rFont val="Calibri"/>
        <family val="2"/>
        <scheme val="minor"/>
      </rPr>
      <t>2</t>
    </r>
    <r>
      <rPr>
        <b/>
        <sz val="11"/>
        <color theme="0"/>
        <rFont val="Calibri"/>
        <family val="2"/>
        <scheme val="minor"/>
      </rPr>
      <t xml:space="preserve"> at 10Pa)</t>
    </r>
  </si>
  <si>
    <r>
      <t>EfLA (in</t>
    </r>
    <r>
      <rPr>
        <b/>
        <vertAlign val="superscript"/>
        <sz val="11"/>
        <color theme="0"/>
        <rFont val="Calibri"/>
        <family val="2"/>
        <scheme val="minor"/>
      </rPr>
      <t>2</t>
    </r>
    <r>
      <rPr>
        <b/>
        <sz val="11"/>
        <color theme="0"/>
        <rFont val="Calibri"/>
        <family val="2"/>
        <scheme val="minor"/>
      </rPr>
      <t xml:space="preserve"> at 4Pa) per 100ft</t>
    </r>
    <r>
      <rPr>
        <b/>
        <vertAlign val="superscript"/>
        <sz val="11"/>
        <color theme="0"/>
        <rFont val="Calibri"/>
        <family val="2"/>
        <scheme val="minor"/>
      </rPr>
      <t>2</t>
    </r>
    <r>
      <rPr>
        <b/>
        <sz val="11"/>
        <color theme="0"/>
        <rFont val="Calibri"/>
        <family val="2"/>
        <scheme val="minor"/>
      </rPr>
      <t xml:space="preserve"> of floor area</t>
    </r>
  </si>
  <si>
    <r>
      <t>cfm at 50Pa per ft</t>
    </r>
    <r>
      <rPr>
        <b/>
        <vertAlign val="superscript"/>
        <sz val="11"/>
        <color theme="0"/>
        <rFont val="Calibri"/>
        <family val="2"/>
        <scheme val="minor"/>
      </rPr>
      <t>2</t>
    </r>
    <r>
      <rPr>
        <b/>
        <sz val="11"/>
        <color theme="0"/>
        <rFont val="Calibri"/>
        <family val="2"/>
        <scheme val="minor"/>
      </rPr>
      <t xml:space="preserve"> of envelope area</t>
    </r>
  </si>
  <si>
    <r>
      <t>cfm at 75Pa per ft</t>
    </r>
    <r>
      <rPr>
        <b/>
        <vertAlign val="superscript"/>
        <sz val="11"/>
        <color theme="0"/>
        <rFont val="Calibri"/>
        <family val="2"/>
        <scheme val="minor"/>
      </rPr>
      <t>2</t>
    </r>
    <r>
      <rPr>
        <b/>
        <sz val="11"/>
        <color theme="0"/>
        <rFont val="Calibri"/>
        <family val="2"/>
        <scheme val="minor"/>
      </rPr>
      <t xml:space="preserve"> of envelope area</t>
    </r>
  </si>
  <si>
    <r>
      <t>cfm at 50Pa per ft</t>
    </r>
    <r>
      <rPr>
        <b/>
        <vertAlign val="superscript"/>
        <sz val="11"/>
        <color theme="0"/>
        <rFont val="Calibri"/>
        <family val="2"/>
        <scheme val="minor"/>
      </rPr>
      <t>2</t>
    </r>
    <r>
      <rPr>
        <b/>
        <sz val="11"/>
        <color theme="0"/>
        <rFont val="Calibri"/>
        <family val="2"/>
        <scheme val="minor"/>
      </rPr>
      <t xml:space="preserve"> of floor area</t>
    </r>
  </si>
  <si>
    <t>Air leakage test result:</t>
  </si>
  <si>
    <t>total height</t>
  </si>
  <si>
    <t>ft3</t>
  </si>
  <si>
    <t>ft2</t>
  </si>
  <si>
    <t>method</t>
  </si>
  <si>
    <t>L/s at 50Pa</t>
  </si>
  <si>
    <t>L/s at 50Pa per m2 of envelope area</t>
  </si>
  <si>
    <r>
      <t>EqLA (in</t>
    </r>
    <r>
      <rPr>
        <b/>
        <vertAlign val="superscript"/>
        <sz val="11"/>
        <color theme="1"/>
        <rFont val="Calibri"/>
        <family val="2"/>
        <scheme val="minor"/>
      </rPr>
      <t>2</t>
    </r>
    <r>
      <rPr>
        <b/>
        <sz val="11"/>
        <color theme="1"/>
        <rFont val="Calibri"/>
        <family val="2"/>
        <scheme val="minor"/>
      </rPr>
      <t xml:space="preserve"> at 10Pa)</t>
    </r>
  </si>
  <si>
    <r>
      <t>EfLA (in</t>
    </r>
    <r>
      <rPr>
        <b/>
        <vertAlign val="superscript"/>
        <sz val="11"/>
        <color theme="1"/>
        <rFont val="Calibri"/>
        <family val="2"/>
        <scheme val="minor"/>
      </rPr>
      <t>2</t>
    </r>
    <r>
      <rPr>
        <b/>
        <sz val="11"/>
        <color theme="1"/>
        <rFont val="Calibri"/>
        <family val="2"/>
        <scheme val="minor"/>
      </rPr>
      <t xml:space="preserve"> at 4Pa)</t>
    </r>
  </si>
  <si>
    <r>
      <t>EfLA (in</t>
    </r>
    <r>
      <rPr>
        <b/>
        <vertAlign val="superscript"/>
        <sz val="11"/>
        <color theme="1"/>
        <rFont val="Calibri"/>
        <family val="2"/>
        <scheme val="minor"/>
      </rPr>
      <t>2</t>
    </r>
    <r>
      <rPr>
        <b/>
        <sz val="11"/>
        <color theme="1"/>
        <rFont val="Calibri"/>
        <family val="2"/>
        <scheme val="minor"/>
      </rPr>
      <t xml:space="preserve"> at 4Pa) per 100ft</t>
    </r>
    <r>
      <rPr>
        <b/>
        <vertAlign val="superscript"/>
        <sz val="11"/>
        <color theme="1"/>
        <rFont val="Calibri"/>
        <family val="2"/>
        <scheme val="minor"/>
      </rPr>
      <t>2</t>
    </r>
    <r>
      <rPr>
        <b/>
        <sz val="11"/>
        <color theme="1"/>
        <rFont val="Calibri"/>
        <family val="2"/>
        <scheme val="minor"/>
      </rPr>
      <t xml:space="preserve"> of floor area</t>
    </r>
  </si>
  <si>
    <r>
      <t>cfm at 50Pa per ft</t>
    </r>
    <r>
      <rPr>
        <b/>
        <vertAlign val="superscript"/>
        <sz val="11"/>
        <color theme="1"/>
        <rFont val="Calibri"/>
        <family val="2"/>
        <scheme val="minor"/>
      </rPr>
      <t>2</t>
    </r>
    <r>
      <rPr>
        <b/>
        <sz val="11"/>
        <color theme="1"/>
        <rFont val="Calibri"/>
        <family val="2"/>
        <scheme val="minor"/>
      </rPr>
      <t xml:space="preserve"> of envelope area</t>
    </r>
  </si>
  <si>
    <r>
      <t>cfm at 75Pa per ft</t>
    </r>
    <r>
      <rPr>
        <b/>
        <vertAlign val="superscript"/>
        <sz val="11"/>
        <color theme="1"/>
        <rFont val="Calibri"/>
        <family val="2"/>
        <scheme val="minor"/>
      </rPr>
      <t>2</t>
    </r>
    <r>
      <rPr>
        <b/>
        <sz val="11"/>
        <color theme="1"/>
        <rFont val="Calibri"/>
        <family val="2"/>
        <scheme val="minor"/>
      </rPr>
      <t xml:space="preserve"> of envelope area</t>
    </r>
  </si>
  <si>
    <r>
      <t>cfm at 50Pa per ft</t>
    </r>
    <r>
      <rPr>
        <b/>
        <vertAlign val="superscript"/>
        <sz val="11"/>
        <color theme="1"/>
        <rFont val="Calibri"/>
        <family val="2"/>
        <scheme val="minor"/>
      </rPr>
      <t>2</t>
    </r>
    <r>
      <rPr>
        <b/>
        <sz val="11"/>
        <color theme="1"/>
        <rFont val="Calibri"/>
        <family val="2"/>
        <scheme val="minor"/>
      </rPr>
      <t xml:space="preserve"> of floor area</t>
    </r>
  </si>
  <si>
    <r>
      <t>m</t>
    </r>
    <r>
      <rPr>
        <b/>
        <vertAlign val="superscript"/>
        <sz val="11"/>
        <color theme="1"/>
        <rFont val="Calibri"/>
        <family val="2"/>
        <scheme val="minor"/>
      </rPr>
      <t>3</t>
    </r>
    <r>
      <rPr>
        <b/>
        <sz val="11"/>
        <color theme="1"/>
        <rFont val="Calibri"/>
        <family val="2"/>
        <scheme val="minor"/>
      </rPr>
      <t>/h at 50Pa</t>
    </r>
  </si>
  <si>
    <r>
      <t>m</t>
    </r>
    <r>
      <rPr>
        <b/>
        <vertAlign val="superscript"/>
        <sz val="11"/>
        <color theme="1"/>
        <rFont val="Calibri"/>
        <family val="2"/>
        <scheme val="minor"/>
      </rPr>
      <t>3</t>
    </r>
    <r>
      <rPr>
        <b/>
        <sz val="11"/>
        <color theme="1"/>
        <rFont val="Calibri"/>
        <family val="2"/>
        <scheme val="minor"/>
      </rPr>
      <t>/h at 50Pa per m</t>
    </r>
    <r>
      <rPr>
        <b/>
        <vertAlign val="superscript"/>
        <sz val="11"/>
        <color theme="1"/>
        <rFont val="Calibri"/>
        <family val="2"/>
        <scheme val="minor"/>
      </rPr>
      <t>2</t>
    </r>
    <r>
      <rPr>
        <b/>
        <sz val="11"/>
        <color theme="1"/>
        <rFont val="Calibri"/>
        <family val="2"/>
        <scheme val="minor"/>
      </rPr>
      <t xml:space="preserve"> of envelope area</t>
    </r>
  </si>
  <si>
    <r>
      <t>L/s at 50Pa per m</t>
    </r>
    <r>
      <rPr>
        <b/>
        <vertAlign val="superscript"/>
        <sz val="11"/>
        <color theme="1"/>
        <rFont val="Calibri"/>
        <family val="2"/>
        <scheme val="minor"/>
      </rPr>
      <t>2</t>
    </r>
    <r>
      <rPr>
        <b/>
        <sz val="11"/>
        <color theme="1"/>
        <rFont val="Calibri"/>
        <family val="2"/>
        <scheme val="minor"/>
      </rPr>
      <t xml:space="preserve"> of envelope area</t>
    </r>
  </si>
  <si>
    <t>(if blank - assumes 0.65)</t>
  </si>
  <si>
    <r>
      <t>floors</t>
    </r>
    <r>
      <rPr>
        <sz val="11"/>
        <color theme="1"/>
        <rFont val="Calibri"/>
        <family val="2"/>
        <scheme val="minor"/>
      </rPr>
      <t xml:space="preserve"> </t>
    </r>
    <r>
      <rPr>
        <sz val="9"/>
        <color theme="1"/>
        <rFont val="Calibri"/>
        <family val="2"/>
        <scheme val="minor"/>
      </rPr>
      <t>(if blank - assumes single story building)</t>
    </r>
  </si>
  <si>
    <t>Inputs</t>
  </si>
  <si>
    <t>Air leakage test result - converted to other units</t>
  </si>
  <si>
    <t>m</t>
  </si>
  <si>
    <t>metric</t>
  </si>
  <si>
    <r>
      <t>m</t>
    </r>
    <r>
      <rPr>
        <b/>
        <vertAlign val="superscript"/>
        <sz val="11"/>
        <color theme="0"/>
        <rFont val="Calibri"/>
        <family val="2"/>
        <scheme val="minor"/>
      </rPr>
      <t>3</t>
    </r>
    <r>
      <rPr>
        <b/>
        <sz val="11"/>
        <color theme="0"/>
        <rFont val="Calibri"/>
        <family val="2"/>
        <scheme val="minor"/>
      </rPr>
      <t>/h at 50Pa per m</t>
    </r>
    <r>
      <rPr>
        <b/>
        <vertAlign val="superscript"/>
        <sz val="11"/>
        <color theme="0"/>
        <rFont val="Calibri"/>
        <family val="2"/>
        <scheme val="minor"/>
      </rPr>
      <t>2</t>
    </r>
    <r>
      <rPr>
        <b/>
        <sz val="11"/>
        <color theme="0"/>
        <rFont val="Calibri"/>
        <family val="2"/>
        <scheme val="minor"/>
      </rPr>
      <t xml:space="preserve"> of envelope area</t>
    </r>
  </si>
  <si>
    <r>
      <t>L/s at 50Pa per m</t>
    </r>
    <r>
      <rPr>
        <b/>
        <vertAlign val="superscript"/>
        <sz val="11"/>
        <color theme="0"/>
        <rFont val="Calibri"/>
        <family val="2"/>
        <scheme val="minor"/>
      </rPr>
      <t>2</t>
    </r>
    <r>
      <rPr>
        <b/>
        <sz val="11"/>
        <color theme="0"/>
        <rFont val="Calibri"/>
        <family val="2"/>
        <scheme val="minor"/>
      </rPr>
      <t xml:space="preserve"> of envelope area</t>
    </r>
  </si>
  <si>
    <r>
      <t>m</t>
    </r>
    <r>
      <rPr>
        <b/>
        <vertAlign val="superscript"/>
        <sz val="11"/>
        <color theme="0"/>
        <rFont val="Calibri"/>
        <family val="2"/>
        <scheme val="minor"/>
      </rPr>
      <t>3</t>
    </r>
    <r>
      <rPr>
        <b/>
        <sz val="11"/>
        <color theme="0"/>
        <rFont val="Calibri"/>
        <family val="2"/>
        <scheme val="minor"/>
      </rPr>
      <t>/h at 50Pa</t>
    </r>
  </si>
  <si>
    <r>
      <t>m</t>
    </r>
    <r>
      <rPr>
        <b/>
        <vertAlign val="superscript"/>
        <sz val="11"/>
        <color theme="0"/>
        <rFont val="Calibri"/>
        <family val="2"/>
        <scheme val="minor"/>
      </rPr>
      <t>3</t>
    </r>
    <r>
      <rPr>
        <b/>
        <sz val="11"/>
        <color theme="0"/>
        <rFont val="Calibri"/>
        <family val="2"/>
        <scheme val="minor"/>
      </rPr>
      <t>/h at 75Pa per m</t>
    </r>
    <r>
      <rPr>
        <b/>
        <vertAlign val="superscript"/>
        <sz val="11"/>
        <color theme="0"/>
        <rFont val="Calibri"/>
        <family val="2"/>
        <scheme val="minor"/>
      </rPr>
      <t>2</t>
    </r>
    <r>
      <rPr>
        <b/>
        <sz val="11"/>
        <color theme="0"/>
        <rFont val="Calibri"/>
        <family val="2"/>
        <scheme val="minor"/>
      </rPr>
      <t xml:space="preserve"> of envelope area</t>
    </r>
  </si>
  <si>
    <r>
      <t>m</t>
    </r>
    <r>
      <rPr>
        <b/>
        <vertAlign val="superscript"/>
        <sz val="11"/>
        <color theme="1"/>
        <rFont val="Calibri"/>
        <family val="2"/>
        <scheme val="minor"/>
      </rPr>
      <t>3</t>
    </r>
    <r>
      <rPr>
        <b/>
        <sz val="11"/>
        <color theme="1"/>
        <rFont val="Calibri"/>
        <family val="2"/>
        <scheme val="minor"/>
      </rPr>
      <t>/h at 75Pa per m</t>
    </r>
    <r>
      <rPr>
        <b/>
        <vertAlign val="superscript"/>
        <sz val="11"/>
        <color theme="1"/>
        <rFont val="Calibri"/>
        <family val="2"/>
        <scheme val="minor"/>
      </rPr>
      <t>2</t>
    </r>
    <r>
      <rPr>
        <b/>
        <sz val="11"/>
        <color theme="1"/>
        <rFont val="Calibri"/>
        <family val="2"/>
        <scheme val="minor"/>
      </rPr>
      <t xml:space="preserve"> of envelope area</t>
    </r>
  </si>
  <si>
    <r>
      <t>ft</t>
    </r>
    <r>
      <rPr>
        <vertAlign val="superscript"/>
        <sz val="11"/>
        <color theme="1"/>
        <rFont val="Calibri"/>
        <family val="2"/>
        <scheme val="minor"/>
      </rPr>
      <t>2</t>
    </r>
  </si>
  <si>
    <r>
      <t>ft</t>
    </r>
    <r>
      <rPr>
        <vertAlign val="superscript"/>
        <sz val="11"/>
        <color theme="1"/>
        <rFont val="Calibri"/>
        <family val="2"/>
        <scheme val="minor"/>
      </rPr>
      <t>3</t>
    </r>
  </si>
  <si>
    <t>NABA Whole Building Air Tightness Testing - Air Leakage Unit Conversions</t>
  </si>
  <si>
    <t xml:space="preserve">Disclaimer: The NABA and the authors of this document have completed a thorough review of the conversion units on this spreadsheet. Users of this document expressly understand and agree that the authors and the NABA are not responsible or liable for any claim, loss or damage arising from the use of this document.
</t>
  </si>
  <si>
    <t>Date of Issue: 19/04/2013                     F-010-011 Rev 0 NABA Whole Building AirTightness Testing - Air Leakage Unit Conversions                                               Page 1 of 1</t>
  </si>
</sst>
</file>

<file path=xl/styles.xml><?xml version="1.0" encoding="utf-8"?>
<styleSheet xmlns="http://schemas.openxmlformats.org/spreadsheetml/2006/main">
  <numFmts count="11">
    <numFmt numFmtId="43" formatCode="_(* #,##0.00_);_(* \(#,##0.00\);_(* &quot;-&quot;??_);_(@_)"/>
    <numFmt numFmtId="164" formatCode="0.0000"/>
    <numFmt numFmtId="165" formatCode="0.000"/>
    <numFmt numFmtId="166" formatCode="_(* #,##0_);_(* \(#,##0\);_(* &quot;-&quot;??_);_(@_)"/>
    <numFmt numFmtId="167" formatCode="_(* #,##0.0000_);_(* \(#,##0.0000\);_(* &quot;-&quot;??_);_(@_)"/>
    <numFmt numFmtId="168" formatCode="_(* #,##0.00000_);_(* \(#,##0.00000\);_(* &quot;-&quot;??_);_(@_)"/>
    <numFmt numFmtId="169" formatCode="_(* #,##0.000000_);_(* \(#,##0.000000\);_(* &quot;-&quot;??_);_(@_)"/>
    <numFmt numFmtId="170" formatCode="_(* #,##0.0000000_);_(* \(#,##0.0000000\);_(* &quot;-&quot;??_);_(@_)"/>
    <numFmt numFmtId="171" formatCode="_(* #,##0.000000000_);_(* \(#,##0.000000000\);_(* &quot;-&quot;??_);_(@_)"/>
    <numFmt numFmtId="172" formatCode="0.0000000"/>
    <numFmt numFmtId="173" formatCode="0.00000"/>
  </numFmts>
  <fonts count="15">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8"/>
      <name val="Tahoma"/>
      <family val="2"/>
    </font>
    <font>
      <b/>
      <vertAlign val="superscript"/>
      <sz val="11"/>
      <color theme="0"/>
      <name val="Calibri"/>
      <family val="2"/>
      <scheme val="minor"/>
    </font>
    <font>
      <b/>
      <sz val="11"/>
      <color theme="1"/>
      <name val="Calibri"/>
      <family val="2"/>
      <scheme val="minor"/>
    </font>
    <font>
      <b/>
      <sz val="15"/>
      <color theme="3"/>
      <name val="Calibri"/>
      <family val="2"/>
      <scheme val="minor"/>
    </font>
    <font>
      <b/>
      <vertAlign val="superscript"/>
      <sz val="11"/>
      <color theme="1"/>
      <name val="Calibri"/>
      <family val="2"/>
      <scheme val="minor"/>
    </font>
    <font>
      <sz val="9"/>
      <color theme="1"/>
      <name val="Calibri"/>
      <family val="2"/>
      <scheme val="minor"/>
    </font>
    <font>
      <b/>
      <sz val="11"/>
      <name val="Calibri"/>
      <family val="2"/>
      <scheme val="minor"/>
    </font>
    <font>
      <sz val="11"/>
      <color rgb="FF3F3F76"/>
      <name val="Calibri"/>
      <family val="2"/>
      <scheme val="minor"/>
    </font>
    <font>
      <sz val="11"/>
      <color theme="1"/>
      <name val="Calibri"/>
      <family val="2"/>
      <scheme val="minor"/>
    </font>
    <font>
      <vertAlign val="superscript"/>
      <sz val="11"/>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rgb="FFC6EFCE"/>
      </patternFill>
    </fill>
    <fill>
      <patternFill patternType="solid">
        <fgColor rgb="FFF2F2F2"/>
      </patternFill>
    </fill>
    <fill>
      <patternFill patternType="solid">
        <fgColor rgb="FFA5A5A5"/>
      </patternFill>
    </fill>
    <fill>
      <patternFill patternType="solid">
        <fgColor theme="0"/>
        <bgColor indexed="64"/>
      </patternFill>
    </fill>
    <fill>
      <patternFill patternType="solid">
        <fgColor rgb="FFFFCC99"/>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style="medium">
        <color indexed="64"/>
      </left>
      <right/>
      <top style="medium">
        <color indexed="64"/>
      </top>
      <bottom style="thick">
        <color theme="4"/>
      </bottom>
      <diagonal/>
    </border>
    <border>
      <left/>
      <right/>
      <top style="medium">
        <color indexed="64"/>
      </top>
      <bottom style="thick">
        <color theme="4"/>
      </bottom>
      <diagonal/>
    </border>
    <border>
      <left/>
      <right style="medium">
        <color indexed="64"/>
      </right>
      <top style="medium">
        <color indexed="64"/>
      </top>
      <bottom style="thick">
        <color theme="4"/>
      </bottom>
      <diagonal/>
    </border>
    <border>
      <left style="medium">
        <color indexed="64"/>
      </left>
      <right style="double">
        <color rgb="FF3F3F3F"/>
      </right>
      <top style="double">
        <color rgb="FF3F3F3F"/>
      </top>
      <bottom style="double">
        <color rgb="FF3F3F3F"/>
      </bottom>
      <diagonal/>
    </border>
    <border>
      <left style="medium">
        <color indexed="64"/>
      </left>
      <right style="double">
        <color rgb="FF3F3F3F"/>
      </right>
      <top style="double">
        <color rgb="FF3F3F3F"/>
      </top>
      <bottom style="medium">
        <color indexed="64"/>
      </bottom>
      <diagonal/>
    </border>
  </borders>
  <cellStyleXfs count="7">
    <xf numFmtId="0" fontId="0" fillId="0" borderId="0"/>
    <xf numFmtId="0" fontId="1" fillId="2" borderId="0" applyNumberFormat="0" applyBorder="0" applyAlignment="0" applyProtection="0"/>
    <xf numFmtId="0" fontId="3" fillId="4" borderId="2" applyNumberFormat="0" applyAlignment="0" applyProtection="0"/>
    <xf numFmtId="0" fontId="7" fillId="0" borderId="11" applyNumberFormat="0" applyFill="0" applyAlignment="0" applyProtection="0"/>
    <xf numFmtId="43" fontId="12" fillId="0" borderId="0" applyFont="0" applyFill="0" applyBorder="0" applyAlignment="0" applyProtection="0"/>
    <xf numFmtId="0" fontId="11" fillId="6" borderId="1" applyNumberFormat="0" applyAlignment="0" applyProtection="0"/>
    <xf numFmtId="0" fontId="2" fillId="3" borderId="1" applyNumberFormat="0" applyAlignment="0" applyProtection="0"/>
  </cellStyleXfs>
  <cellXfs count="61">
    <xf numFmtId="0" fontId="0" fillId="0" borderId="0" xfId="0"/>
    <xf numFmtId="0" fontId="0" fillId="5" borderId="0" xfId="0" applyFill="1"/>
    <xf numFmtId="0" fontId="0" fillId="5" borderId="0" xfId="0" applyFill="1" applyAlignment="1">
      <alignment horizontal="right"/>
    </xf>
    <xf numFmtId="0" fontId="0" fillId="5" borderId="0" xfId="0" applyFill="1" applyAlignment="1">
      <alignment horizontal="left"/>
    </xf>
    <xf numFmtId="0" fontId="3" fillId="4" borderId="2" xfId="2" applyAlignment="1">
      <alignment wrapText="1"/>
    </xf>
    <xf numFmtId="0" fontId="3" fillId="4" borderId="2" xfId="2" applyAlignment="1">
      <alignment vertical="center"/>
    </xf>
    <xf numFmtId="0" fontId="0" fillId="5" borderId="0" xfId="0" applyFill="1" applyAlignment="1"/>
    <xf numFmtId="2" fontId="0" fillId="5" borderId="0" xfId="0" applyNumberFormat="1" applyFill="1"/>
    <xf numFmtId="2" fontId="0" fillId="5" borderId="0" xfId="0" applyNumberFormat="1" applyFill="1" applyAlignment="1">
      <alignment horizontal="left"/>
    </xf>
    <xf numFmtId="0" fontId="0" fillId="5" borderId="4" xfId="0" applyFill="1" applyBorder="1"/>
    <xf numFmtId="0" fontId="0" fillId="5" borderId="5" xfId="0" applyFill="1" applyBorder="1"/>
    <xf numFmtId="0" fontId="0" fillId="5" borderId="6" xfId="0" applyFill="1" applyBorder="1"/>
    <xf numFmtId="0" fontId="0" fillId="5" borderId="0" xfId="0" applyFill="1" applyBorder="1"/>
    <xf numFmtId="0" fontId="0" fillId="5" borderId="7" xfId="0" applyFill="1" applyBorder="1"/>
    <xf numFmtId="0" fontId="0" fillId="5" borderId="8" xfId="0" applyFill="1" applyBorder="1"/>
    <xf numFmtId="0" fontId="0" fillId="5" borderId="9" xfId="0" applyFill="1" applyBorder="1"/>
    <xf numFmtId="0" fontId="0" fillId="5" borderId="10" xfId="0" applyFill="1" applyBorder="1"/>
    <xf numFmtId="0" fontId="6" fillId="5" borderId="6" xfId="0" applyFont="1" applyFill="1" applyBorder="1" applyAlignment="1">
      <alignment horizontal="right"/>
    </xf>
    <xf numFmtId="0" fontId="6" fillId="5" borderId="0" xfId="0" applyFont="1" applyFill="1" applyBorder="1" applyAlignment="1">
      <alignment horizontal="right"/>
    </xf>
    <xf numFmtId="0" fontId="6" fillId="5" borderId="0" xfId="0" applyFont="1" applyFill="1" applyBorder="1" applyAlignment="1">
      <alignment horizontal="left"/>
    </xf>
    <xf numFmtId="0" fontId="6" fillId="5" borderId="0" xfId="0" applyFont="1" applyFill="1" applyBorder="1"/>
    <xf numFmtId="0" fontId="9" fillId="5" borderId="0" xfId="0" applyFont="1" applyFill="1" applyBorder="1"/>
    <xf numFmtId="0" fontId="0" fillId="5" borderId="6" xfId="0" applyFill="1" applyBorder="1" applyAlignment="1">
      <alignment horizontal="right"/>
    </xf>
    <xf numFmtId="0" fontId="0" fillId="5" borderId="0" xfId="0" applyFill="1" applyBorder="1" applyAlignment="1">
      <alignment horizontal="right"/>
    </xf>
    <xf numFmtId="0" fontId="6" fillId="5" borderId="9" xfId="0" applyFont="1" applyFill="1" applyBorder="1" applyAlignment="1">
      <alignment horizontal="right"/>
    </xf>
    <xf numFmtId="164" fontId="3" fillId="4" borderId="15" xfId="2" applyNumberFormat="1" applyBorder="1"/>
    <xf numFmtId="164" fontId="3" fillId="4" borderId="16" xfId="2" applyNumberFormat="1" applyBorder="1"/>
    <xf numFmtId="0" fontId="6" fillId="5" borderId="9" xfId="0" applyFont="1" applyFill="1" applyBorder="1"/>
    <xf numFmtId="0" fontId="9" fillId="5" borderId="3" xfId="0" applyFont="1" applyFill="1" applyBorder="1"/>
    <xf numFmtId="0" fontId="9" fillId="5" borderId="6" xfId="0" applyFont="1" applyFill="1" applyBorder="1"/>
    <xf numFmtId="0" fontId="9" fillId="5" borderId="8" xfId="0" applyFont="1" applyFill="1" applyBorder="1"/>
    <xf numFmtId="2" fontId="3" fillId="4" borderId="15" xfId="2" applyNumberFormat="1" applyBorder="1"/>
    <xf numFmtId="165" fontId="3" fillId="4" borderId="15" xfId="2" applyNumberFormat="1" applyBorder="1"/>
    <xf numFmtId="0" fontId="0" fillId="5" borderId="0" xfId="0" applyFill="1" applyAlignment="1">
      <alignment horizontal="center"/>
    </xf>
    <xf numFmtId="166" fontId="3" fillId="4" borderId="15" xfId="4" applyNumberFormat="1" applyFont="1" applyFill="1" applyBorder="1"/>
    <xf numFmtId="43" fontId="11" fillId="6" borderId="1" xfId="4" applyFont="1" applyFill="1" applyBorder="1"/>
    <xf numFmtId="43" fontId="2" fillId="3" borderId="1" xfId="4" applyFont="1" applyFill="1" applyBorder="1"/>
    <xf numFmtId="167" fontId="2" fillId="3" borderId="1" xfId="4" applyNumberFormat="1" applyFont="1" applyFill="1" applyBorder="1"/>
    <xf numFmtId="168" fontId="2" fillId="3" borderId="1" xfId="4" applyNumberFormat="1" applyFont="1" applyFill="1" applyBorder="1"/>
    <xf numFmtId="169" fontId="2" fillId="3" borderId="1" xfId="4" applyNumberFormat="1" applyFont="1" applyFill="1" applyBorder="1"/>
    <xf numFmtId="170" fontId="2" fillId="3" borderId="1" xfId="4" applyNumberFormat="1" applyFont="1" applyFill="1" applyBorder="1"/>
    <xf numFmtId="171" fontId="2" fillId="3" borderId="1" xfId="4" applyNumberFormat="1" applyFont="1" applyFill="1" applyBorder="1"/>
    <xf numFmtId="172" fontId="2" fillId="3" borderId="1" xfId="6" applyNumberFormat="1"/>
    <xf numFmtId="173" fontId="2" fillId="3" borderId="1" xfId="6" applyNumberFormat="1"/>
    <xf numFmtId="2" fontId="11" fillId="6" borderId="1" xfId="5" applyNumberFormat="1"/>
    <xf numFmtId="43" fontId="1" fillId="2" borderId="9" xfId="4" applyFont="1" applyFill="1" applyBorder="1" applyProtection="1">
      <protection locked="0"/>
    </xf>
    <xf numFmtId="166" fontId="1" fillId="2" borderId="0" xfId="4" applyNumberFormat="1" applyFont="1" applyFill="1" applyBorder="1" applyProtection="1">
      <protection locked="0"/>
    </xf>
    <xf numFmtId="0" fontId="1" fillId="2" borderId="0" xfId="1" applyBorder="1" applyProtection="1">
      <protection locked="0"/>
    </xf>
    <xf numFmtId="3" fontId="1" fillId="2" borderId="0" xfId="1" applyNumberFormat="1" applyBorder="1" applyProtection="1">
      <protection locked="0"/>
    </xf>
    <xf numFmtId="0" fontId="0" fillId="5" borderId="0" xfId="0" applyFill="1" applyProtection="1">
      <protection locked="0"/>
    </xf>
    <xf numFmtId="0" fontId="14" fillId="5" borderId="0" xfId="0" applyFont="1" applyFill="1" applyAlignment="1">
      <alignment horizontal="center" wrapText="1"/>
    </xf>
    <xf numFmtId="0" fontId="0" fillId="5" borderId="0" xfId="0" applyFill="1" applyAlignment="1">
      <alignment horizontal="left" vertical="center" wrapText="1"/>
    </xf>
    <xf numFmtId="0" fontId="10" fillId="2" borderId="9" xfId="1" applyFont="1" applyBorder="1" applyAlignment="1" applyProtection="1">
      <alignment horizontal="left"/>
      <protection locked="0"/>
    </xf>
    <xf numFmtId="0" fontId="10" fillId="2" borderId="10" xfId="1" applyFont="1" applyBorder="1" applyAlignment="1" applyProtection="1">
      <alignment horizontal="left"/>
      <protection locked="0"/>
    </xf>
    <xf numFmtId="0" fontId="7" fillId="0" borderId="12" xfId="3" applyBorder="1" applyAlignment="1">
      <alignment horizontal="center"/>
    </xf>
    <xf numFmtId="0" fontId="7" fillId="0" borderId="13" xfId="3" applyBorder="1" applyAlignment="1">
      <alignment horizontal="center"/>
    </xf>
    <xf numFmtId="0" fontId="7" fillId="0" borderId="14" xfId="3" applyBorder="1" applyAlignment="1">
      <alignment horizontal="center"/>
    </xf>
    <xf numFmtId="0" fontId="7" fillId="5" borderId="12" xfId="3" applyFill="1" applyBorder="1" applyAlignment="1">
      <alignment horizontal="center"/>
    </xf>
    <xf numFmtId="0" fontId="7" fillId="5" borderId="13" xfId="3" applyFill="1" applyBorder="1" applyAlignment="1">
      <alignment horizontal="center"/>
    </xf>
    <xf numFmtId="0" fontId="7" fillId="5" borderId="14" xfId="3" applyFill="1" applyBorder="1" applyAlignment="1">
      <alignment horizontal="center"/>
    </xf>
    <xf numFmtId="0" fontId="0" fillId="5" borderId="0" xfId="0" applyFill="1"/>
  </cellXfs>
  <cellStyles count="7">
    <cellStyle name="Calculation" xfId="6" builtinId="22"/>
    <cellStyle name="Check Cell" xfId="2" builtinId="23"/>
    <cellStyle name="Comma" xfId="4" builtinId="3"/>
    <cellStyle name="Good" xfId="1" builtinId="26"/>
    <cellStyle name="Heading 1" xfId="3" builtinId="16"/>
    <cellStyle name="Input" xfId="5" builtinId="20"/>
    <cellStyle name="Normal" xfId="0" builtinId="0"/>
  </cellStyles>
  <dxfs count="1">
    <dxf>
      <font>
        <color theme="0"/>
      </font>
      <fill>
        <patternFill>
          <bgColor theme="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171450</xdr:rowOff>
    </xdr:from>
    <xdr:to>
      <xdr:col>2</xdr:col>
      <xdr:colOff>438150</xdr:colOff>
      <xdr:row>5</xdr:row>
      <xdr:rowOff>122111</xdr:rowOff>
    </xdr:to>
    <xdr:pic>
      <xdr:nvPicPr>
        <xdr:cNvPr id="4" name="Picture 3" descr="B:\DOCUMENT CONTROL\NABA-010 Document Control\NABA - 010 Marketing Materials and Logo\Logo\NABA Registered Logo\NABA_LOGO_registered.jpg"/>
        <xdr:cNvPicPr/>
      </xdr:nvPicPr>
      <xdr:blipFill>
        <a:blip xmlns:r="http://schemas.openxmlformats.org/officeDocument/2006/relationships" r:embed="rId1" cstate="print"/>
        <a:srcRect/>
        <a:stretch>
          <a:fillRect/>
        </a:stretch>
      </xdr:blipFill>
      <xdr:spPr bwMode="auto">
        <a:xfrm>
          <a:off x="123826" y="171450"/>
          <a:ext cx="1685924" cy="903161"/>
        </a:xfrm>
        <a:prstGeom prst="rect">
          <a:avLst/>
        </a:prstGeom>
        <a:noFill/>
        <a:ln w="9525">
          <a:noFill/>
          <a:miter lim="800000"/>
          <a:headEnd/>
          <a:tailEnd/>
        </a:ln>
      </xdr:spPr>
    </xdr:pic>
    <xdr:clientData/>
  </xdr:twoCellAnchor>
  <xdr:oneCellAnchor>
    <xdr:from>
      <xdr:col>0</xdr:col>
      <xdr:colOff>66675</xdr:colOff>
      <xdr:row>8</xdr:row>
      <xdr:rowOff>57149</xdr:rowOff>
    </xdr:from>
    <xdr:ext cx="3152775" cy="619125"/>
    <xdr:sp macro="" textlink="">
      <xdr:nvSpPr>
        <xdr:cNvPr id="2" name="TextBox 1"/>
        <xdr:cNvSpPr txBox="1"/>
      </xdr:nvSpPr>
      <xdr:spPr>
        <a:xfrm>
          <a:off x="66675" y="57149"/>
          <a:ext cx="3152775" cy="619125"/>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Instructions: </a:t>
          </a:r>
          <a:r>
            <a:rPr lang="en-US" sz="1100" b="0"/>
            <a:t>G</a:t>
          </a:r>
          <a:r>
            <a:rPr lang="en-US" sz="1100"/>
            <a:t>reen</a:t>
          </a:r>
          <a:r>
            <a:rPr lang="en-US" sz="1100" baseline="0"/>
            <a:t> cells are inputs. Grey cells are outputs. Any assumptions made are listed below in the assumptions box.</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36"/>
  <sheetViews>
    <sheetView tabSelected="1" topLeftCell="A13" zoomScaleNormal="100" workbookViewId="0">
      <selection activeCell="L40" sqref="L40"/>
    </sheetView>
  </sheetViews>
  <sheetFormatPr defaultRowHeight="15"/>
  <cols>
    <col min="1" max="1" width="17" style="1" customWidth="1"/>
    <col min="2" max="2" width="3.5703125" style="1" customWidth="1"/>
    <col min="3" max="3" width="11.5703125" style="1" bestFit="1" customWidth="1"/>
    <col min="4" max="4" width="2.42578125" style="1" customWidth="1"/>
    <col min="5" max="5" width="9.140625" style="1"/>
    <col min="6" max="6" width="9.85546875" style="1" customWidth="1"/>
    <col min="7" max="7" width="7.85546875" style="1" customWidth="1"/>
    <col min="8" max="8" width="9.5703125" style="1" customWidth="1"/>
    <col min="9" max="9" width="9.140625" style="1"/>
    <col min="10" max="10" width="10.5703125" style="1" customWidth="1"/>
    <col min="11" max="15" width="9.140625" style="1"/>
    <col min="16" max="16" width="9.140625" style="1" customWidth="1"/>
    <col min="17" max="17" width="9.140625" style="1" hidden="1" customWidth="1"/>
    <col min="18" max="18" width="13" style="1" hidden="1" customWidth="1"/>
    <col min="19" max="19" width="3.42578125" style="1" hidden="1" customWidth="1"/>
    <col min="20" max="22" width="9.140625" style="1" hidden="1" customWidth="1"/>
    <col min="23" max="16384" width="9.140625" style="1"/>
  </cols>
  <sheetData>
    <row r="1" spans="1:18">
      <c r="B1" s="50" t="s">
        <v>51</v>
      </c>
      <c r="C1" s="50"/>
      <c r="D1" s="50"/>
      <c r="E1" s="50"/>
      <c r="F1" s="50"/>
      <c r="G1" s="50"/>
      <c r="H1" s="50"/>
      <c r="I1" s="50"/>
      <c r="J1" s="50"/>
      <c r="K1" s="50"/>
      <c r="L1" s="50"/>
      <c r="M1" s="50"/>
      <c r="N1" s="50"/>
    </row>
    <row r="2" spans="1:18">
      <c r="B2" s="50"/>
      <c r="C2" s="50"/>
      <c r="D2" s="50"/>
      <c r="E2" s="50"/>
      <c r="F2" s="50"/>
      <c r="G2" s="50"/>
      <c r="H2" s="50"/>
      <c r="I2" s="50"/>
      <c r="J2" s="50"/>
      <c r="K2" s="50"/>
      <c r="L2" s="50"/>
      <c r="M2" s="50"/>
      <c r="N2" s="50"/>
    </row>
    <row r="12" spans="1:18" ht="15.75" thickBot="1"/>
    <row r="13" spans="1:18" ht="20.25" thickBot="1">
      <c r="A13" s="54" t="s">
        <v>40</v>
      </c>
      <c r="B13" s="55"/>
      <c r="C13" s="55"/>
      <c r="D13" s="55"/>
      <c r="E13" s="55"/>
      <c r="F13" s="55"/>
      <c r="G13" s="55"/>
      <c r="H13" s="56"/>
      <c r="J13" s="57" t="s">
        <v>41</v>
      </c>
      <c r="K13" s="58"/>
      <c r="L13" s="58"/>
      <c r="M13" s="58"/>
      <c r="N13" s="58"/>
      <c r="O13" s="58"/>
      <c r="P13" s="59"/>
    </row>
    <row r="14" spans="1:18" ht="16.5" thickTop="1" thickBot="1">
      <c r="A14" s="11"/>
      <c r="B14" s="12"/>
      <c r="C14" s="12"/>
      <c r="D14" s="12"/>
      <c r="E14" s="12"/>
      <c r="F14" s="12"/>
      <c r="G14" s="12"/>
      <c r="H14" s="13"/>
      <c r="J14" s="34">
        <f>$C$26*VLOOKUP($D$26,'Conversion factors'!$A$2:$P$16,2,FALSE)</f>
        <v>4780</v>
      </c>
      <c r="K14" s="20" t="s">
        <v>11</v>
      </c>
      <c r="L14" s="12"/>
      <c r="M14" s="12"/>
      <c r="N14" s="12"/>
      <c r="O14" s="12"/>
      <c r="P14" s="13"/>
    </row>
    <row r="15" spans="1:18" ht="16.5" thickTop="1" thickBot="1">
      <c r="A15" s="11"/>
      <c r="B15" s="12"/>
      <c r="C15" s="12"/>
      <c r="D15" s="12"/>
      <c r="E15" s="12"/>
      <c r="F15" s="12"/>
      <c r="G15" s="12"/>
      <c r="H15" s="13"/>
      <c r="J15" s="34">
        <f>$C$26*VLOOKUP($D$26,'Conversion factors'!$A$2:$P$16,3,FALSE)</f>
        <v>6096.5291129912794</v>
      </c>
      <c r="K15" s="20" t="s">
        <v>9</v>
      </c>
      <c r="L15" s="12"/>
      <c r="M15" s="12"/>
      <c r="N15" s="12"/>
      <c r="O15" s="12"/>
      <c r="P15" s="13"/>
    </row>
    <row r="16" spans="1:18" ht="16.5" thickTop="1" thickBot="1">
      <c r="A16" s="11"/>
      <c r="B16" s="12"/>
      <c r="C16" s="12"/>
      <c r="D16" s="12"/>
      <c r="E16" s="12"/>
      <c r="F16" s="12"/>
      <c r="G16" s="12"/>
      <c r="H16" s="13"/>
      <c r="J16" s="34">
        <f>$C$26*VLOOKUP($D$26,'Conversion factors'!$A$2:$P$16,4,FALSE)</f>
        <v>3153.623906747217</v>
      </c>
      <c r="K16" s="20" t="s">
        <v>10</v>
      </c>
      <c r="L16" s="12"/>
      <c r="M16" s="12"/>
      <c r="N16" s="12"/>
      <c r="O16" s="12"/>
      <c r="P16" s="13"/>
      <c r="Q16" s="2" t="s">
        <v>43</v>
      </c>
      <c r="R16" s="49" t="b">
        <v>0</v>
      </c>
    </row>
    <row r="17" spans="1:22" ht="18.75" thickTop="1" thickBot="1">
      <c r="A17" s="11"/>
      <c r="B17" s="12"/>
      <c r="C17" s="12"/>
      <c r="D17" s="12"/>
      <c r="E17" s="12"/>
      <c r="F17" s="12"/>
      <c r="G17" s="12"/>
      <c r="H17" s="13"/>
      <c r="J17" s="34">
        <f>$C$26*VLOOKUP($D$26,'Conversion factors'!$A$2:$P$16,5,FALSE)</f>
        <v>535.4765413838827</v>
      </c>
      <c r="K17" s="20" t="s">
        <v>29</v>
      </c>
      <c r="L17" s="12"/>
      <c r="M17" s="12"/>
      <c r="N17" s="12"/>
      <c r="O17" s="12"/>
      <c r="P17" s="13"/>
      <c r="Q17" s="2" t="s">
        <v>26</v>
      </c>
      <c r="R17" s="49">
        <v>2</v>
      </c>
    </row>
    <row r="18" spans="1:22" ht="18.75" thickTop="1" thickBot="1">
      <c r="A18" s="17" t="str">
        <f>IF($R$17=2,"Envelope area","")</f>
        <v>Envelope area</v>
      </c>
      <c r="B18" s="18" t="str">
        <f>IF($R$17=2,"Ae","")</f>
        <v>Ae</v>
      </c>
      <c r="C18" s="46">
        <v>1000</v>
      </c>
      <c r="D18" s="19" t="str">
        <f>IF($R$17=2,IF(R16,"m2","ft2"),"")</f>
        <v>ft2</v>
      </c>
      <c r="E18" s="12"/>
      <c r="F18" s="12"/>
      <c r="G18" s="12"/>
      <c r="H18" s="13"/>
      <c r="J18" s="34">
        <f>$C$26*VLOOKUP($D$26,'Conversion factors'!$A$2:$P$16,6,FALSE)</f>
        <v>298.0411865893123</v>
      </c>
      <c r="K18" s="20" t="s">
        <v>30</v>
      </c>
      <c r="L18" s="12"/>
      <c r="M18" s="12"/>
      <c r="N18" s="12"/>
      <c r="O18" s="12"/>
      <c r="P18" s="13"/>
      <c r="Q18" s="2" t="s">
        <v>1</v>
      </c>
      <c r="R18" s="7">
        <f>IF($R$17=3,C20*IF(R16,3.2808,1),IF($R$17=2,(-4*R20+SQRT((4*R20)^2+8*C18*IF(R16,10.76391,1)))/4,SQRT(C19*IF(R16,35.31467,1)/R20)))</f>
        <v>14.494897427831781</v>
      </c>
      <c r="S18" s="1" t="s">
        <v>8</v>
      </c>
      <c r="T18" s="33" t="str">
        <f>"------&gt;"</f>
        <v>------&gt;</v>
      </c>
      <c r="U18" s="1">
        <f>R18/3.2808</f>
        <v>4.418098460080401</v>
      </c>
      <c r="V18" s="1" t="s">
        <v>42</v>
      </c>
    </row>
    <row r="19" spans="1:22" ht="18.75" thickTop="1" thickBot="1">
      <c r="A19" s="17" t="str">
        <f>IF($R$17=1,"Volume","")</f>
        <v/>
      </c>
      <c r="B19" s="18" t="str">
        <f>IF($R$17=1,"V","")</f>
        <v/>
      </c>
      <c r="C19" s="48">
        <v>20000</v>
      </c>
      <c r="D19" s="19" t="str">
        <f>IF($R$17=1,IF(R16,"m3","ft3"),"")</f>
        <v/>
      </c>
      <c r="E19" s="12"/>
      <c r="F19" s="12"/>
      <c r="G19" s="12"/>
      <c r="H19" s="13"/>
      <c r="J19" s="32">
        <f>$C$26*VLOOKUP($D$26,'Conversion factors'!$A$2:$P$16,7,FALSE)</f>
        <v>141.85543860320328</v>
      </c>
      <c r="K19" s="20" t="s">
        <v>31</v>
      </c>
      <c r="L19" s="12"/>
      <c r="M19" s="12"/>
      <c r="N19" s="12"/>
      <c r="O19" s="12"/>
      <c r="P19" s="13"/>
      <c r="Q19" s="2" t="s">
        <v>2</v>
      </c>
      <c r="R19" s="7">
        <f>IF($R$17=3,C21*IF(R16,3.2808,1),IF($R$17=2,(-4*R20+SQRT((4*R20)^2+8*C18*IF(R16,10.76391,1)))/4,SQRT(C19*IF(R16,35.31467,1)/R20)))</f>
        <v>14.494897427831781</v>
      </c>
      <c r="S19" s="1" t="s">
        <v>8</v>
      </c>
    </row>
    <row r="20" spans="1:22" ht="16.5" thickTop="1" thickBot="1">
      <c r="A20" s="17" t="str">
        <f>IF($R$17&gt;2,"length","")</f>
        <v/>
      </c>
      <c r="B20" s="18" t="str">
        <f>IF($R$17&gt;2,"L","")</f>
        <v/>
      </c>
      <c r="C20" s="46">
        <v>200</v>
      </c>
      <c r="D20" s="19" t="str">
        <f>IF($R$17=3,IF($R$16,"m","ft"),"")</f>
        <v/>
      </c>
      <c r="E20" s="12"/>
      <c r="F20" s="12"/>
      <c r="G20" s="12"/>
      <c r="H20" s="13"/>
      <c r="J20" s="31">
        <f>$C$26*VLOOKUP($D$26,'Conversion factors'!$A$2:$P$16,8,FALSE)</f>
        <v>136.50509265841725</v>
      </c>
      <c r="K20" s="20" t="s">
        <v>12</v>
      </c>
      <c r="L20" s="12"/>
      <c r="M20" s="12"/>
      <c r="N20" s="12"/>
      <c r="O20" s="12"/>
      <c r="P20" s="13"/>
      <c r="Q20" s="2" t="s">
        <v>3</v>
      </c>
      <c r="R20" s="7">
        <f>IF(C22="",R21*9,C22*IF(R16,3.2808,1))</f>
        <v>10</v>
      </c>
      <c r="S20" s="1" t="s">
        <v>8</v>
      </c>
      <c r="T20" s="33" t="str">
        <f t="shared" ref="T20" si="0">"------&gt;"</f>
        <v>------&gt;</v>
      </c>
      <c r="U20" s="1">
        <f t="shared" ref="U20" si="1">R20/3.2808</f>
        <v>3.0480370641306997</v>
      </c>
      <c r="V20" s="1" t="s">
        <v>42</v>
      </c>
    </row>
    <row r="21" spans="1:22" ht="18.75" thickTop="1" thickBot="1">
      <c r="A21" s="17" t="str">
        <f>IF($R$17&gt;2,"width","")</f>
        <v/>
      </c>
      <c r="B21" s="18" t="str">
        <f>IF($R$17&gt;2,"W","")</f>
        <v/>
      </c>
      <c r="C21" s="46">
        <v>300</v>
      </c>
      <c r="D21" s="19" t="str">
        <f>IF($R$17=3,IF($R$16,"m","ft"),"")</f>
        <v/>
      </c>
      <c r="E21" s="12"/>
      <c r="F21" s="12"/>
      <c r="G21" s="12"/>
      <c r="H21" s="13"/>
      <c r="J21" s="25">
        <f>$C$26*VLOOKUP($D$26,'Conversion factors'!$A$2:$P$16,9,FALSE)</f>
        <v>4.78</v>
      </c>
      <c r="K21" s="20" t="s">
        <v>32</v>
      </c>
      <c r="L21" s="12"/>
      <c r="M21" s="12"/>
      <c r="N21" s="12"/>
      <c r="O21" s="12"/>
      <c r="P21" s="13"/>
      <c r="Q21" s="2" t="s">
        <v>6</v>
      </c>
      <c r="R21" s="1">
        <f>IF(C23="",1,C23)</f>
        <v>1</v>
      </c>
    </row>
    <row r="22" spans="1:22" ht="18.75" thickTop="1" thickBot="1">
      <c r="A22" s="17" t="s">
        <v>23</v>
      </c>
      <c r="B22" s="18" t="s">
        <v>3</v>
      </c>
      <c r="C22" s="46">
        <v>10</v>
      </c>
      <c r="D22" s="19" t="str">
        <f>IF(R16,"m","ft")</f>
        <v>ft</v>
      </c>
      <c r="E22" s="21" t="str">
        <f>IF(R16,"(if blank - assumes 2.74 m per floor)","(if blank - assumes 9 ft per floor)")</f>
        <v>(if blank - assumes 9 ft per floor)</v>
      </c>
      <c r="F22" s="12"/>
      <c r="G22" s="12"/>
      <c r="H22" s="13"/>
      <c r="J22" s="25">
        <f>$C$26*VLOOKUP($D$26,'Conversion factors'!$A$2:$P$16,10,FALSE)</f>
        <v>6.0965291129912806</v>
      </c>
      <c r="K22" s="20" t="s">
        <v>33</v>
      </c>
      <c r="L22" s="12"/>
      <c r="M22" s="12"/>
      <c r="N22" s="12"/>
      <c r="O22" s="12"/>
      <c r="P22" s="13"/>
      <c r="Q22" s="2" t="s">
        <v>7</v>
      </c>
      <c r="R22" s="7">
        <f>R18*R19*R20</f>
        <v>2101.0205144336437</v>
      </c>
      <c r="S22" s="1" t="s">
        <v>24</v>
      </c>
    </row>
    <row r="23" spans="1:22" ht="18.75" thickTop="1" thickBot="1">
      <c r="A23" s="17" t="s">
        <v>5</v>
      </c>
      <c r="B23" s="18" t="s">
        <v>6</v>
      </c>
      <c r="C23" s="47">
        <v>1</v>
      </c>
      <c r="D23" s="20" t="s">
        <v>39</v>
      </c>
      <c r="E23" s="12"/>
      <c r="F23" s="12"/>
      <c r="G23" s="12"/>
      <c r="H23" s="13"/>
      <c r="J23" s="25">
        <f>$C$26*VLOOKUP($D$26,'Conversion factors'!$A$2:$P$16,11,FALSE)</f>
        <v>22.750848776402876</v>
      </c>
      <c r="K23" s="20" t="s">
        <v>34</v>
      </c>
      <c r="L23" s="12"/>
      <c r="M23" s="12"/>
      <c r="N23" s="12"/>
      <c r="O23" s="12"/>
      <c r="P23" s="13"/>
      <c r="Q23" s="2" t="s">
        <v>14</v>
      </c>
      <c r="R23" s="1">
        <f>R18*R19*2+R18*R20*2+R19*R20*2</f>
        <v>999.99999999999989</v>
      </c>
      <c r="S23" s="1" t="s">
        <v>25</v>
      </c>
    </row>
    <row r="24" spans="1:22" ht="18.75" thickTop="1" thickBot="1">
      <c r="A24" s="17" t="s">
        <v>4</v>
      </c>
      <c r="B24" s="18" t="s">
        <v>0</v>
      </c>
      <c r="C24" s="47">
        <v>0.6</v>
      </c>
      <c r="D24" s="21" t="s">
        <v>38</v>
      </c>
      <c r="E24" s="12"/>
      <c r="F24" s="12"/>
      <c r="G24" s="12"/>
      <c r="H24" s="13"/>
      <c r="J24" s="34">
        <f>$C$26*VLOOKUP($D$26,'Conversion factors'!$A$2:$P$16,12,FALSE)</f>
        <v>8121.2725799999998</v>
      </c>
      <c r="K24" s="20" t="s">
        <v>35</v>
      </c>
      <c r="L24" s="12"/>
      <c r="M24" s="12"/>
      <c r="N24" s="12"/>
      <c r="O24" s="12"/>
      <c r="P24" s="13"/>
      <c r="Q24" s="2" t="s">
        <v>15</v>
      </c>
      <c r="R24" s="1">
        <f>R18*R19*R21</f>
        <v>210.10205144336436</v>
      </c>
      <c r="S24" s="1" t="s">
        <v>25</v>
      </c>
    </row>
    <row r="25" spans="1:22" ht="16.5" thickTop="1" thickBot="1">
      <c r="A25" s="22"/>
      <c r="B25" s="23"/>
      <c r="C25" s="12"/>
      <c r="D25" s="12"/>
      <c r="E25" s="12"/>
      <c r="F25" s="12"/>
      <c r="G25" s="12"/>
      <c r="H25" s="13"/>
      <c r="J25" s="34">
        <f>$C$26*VLOOKUP($D$26,'Conversion factors'!$A$2:$P$16,13,FALSE)</f>
        <v>2255.9085720000003</v>
      </c>
      <c r="K25" s="20" t="s">
        <v>27</v>
      </c>
      <c r="L25" s="12"/>
      <c r="M25" s="12"/>
      <c r="N25" s="12"/>
      <c r="O25" s="12"/>
      <c r="P25" s="13"/>
    </row>
    <row r="26" spans="1:22" ht="18.75" thickTop="1" thickBot="1">
      <c r="A26" s="14"/>
      <c r="B26" s="24" t="s">
        <v>22</v>
      </c>
      <c r="C26" s="45">
        <v>4780</v>
      </c>
      <c r="D26" s="52" t="s">
        <v>11</v>
      </c>
      <c r="E26" s="52"/>
      <c r="F26" s="52"/>
      <c r="G26" s="52"/>
      <c r="H26" s="53"/>
      <c r="J26" s="25">
        <f>$C$26*VLOOKUP($D$26,'Conversion factors'!$A$2:$P$16,14,FALSE)</f>
        <v>87.416688158617063</v>
      </c>
      <c r="K26" s="20" t="s">
        <v>36</v>
      </c>
      <c r="L26" s="12"/>
      <c r="M26" s="12"/>
      <c r="N26" s="12"/>
      <c r="O26" s="12"/>
      <c r="P26" s="13"/>
    </row>
    <row r="27" spans="1:22" ht="18.75" thickTop="1" thickBot="1">
      <c r="J27" s="25">
        <f>$C$26*VLOOKUP($D$26,'Conversion factors'!$A$2:$P$16,15,FALSE)</f>
        <v>24.282408232242233</v>
      </c>
      <c r="K27" s="20" t="s">
        <v>37</v>
      </c>
      <c r="L27" s="12"/>
      <c r="M27" s="12"/>
      <c r="N27" s="12"/>
      <c r="O27" s="12"/>
      <c r="P27" s="13"/>
    </row>
    <row r="28" spans="1:22" ht="21" thickTop="1" thickBot="1">
      <c r="A28" s="57" t="str">
        <f>"Assumptions: " &amp; IF(AND(A29="",A30="",A31="",A32=""),"None","")</f>
        <v xml:space="preserve">Assumptions: </v>
      </c>
      <c r="B28" s="58"/>
      <c r="C28" s="58"/>
      <c r="D28" s="58"/>
      <c r="E28" s="58"/>
      <c r="F28" s="59"/>
      <c r="J28" s="26">
        <f>$C$26*VLOOKUP($D$26,'Conversion factors'!$A$2:$P$16,16,FALSE)</f>
        <v>111.49338584106464</v>
      </c>
      <c r="K28" s="27" t="s">
        <v>48</v>
      </c>
      <c r="L28" s="15"/>
      <c r="M28" s="15"/>
      <c r="N28" s="15"/>
      <c r="O28" s="15"/>
      <c r="P28" s="16"/>
    </row>
    <row r="29" spans="1:22" ht="15.75" thickTop="1">
      <c r="A29" s="28" t="str">
        <f>IF(R17&lt;3,"Square footprint: building length and width assumed to be " &amp; ROUND(IF(R16,U18,R18),1) &amp; IF(R16," m"," ft"),"")</f>
        <v>Square footprint: building length and width assumed to be 14.5 ft</v>
      </c>
      <c r="B29" s="9"/>
      <c r="C29" s="9"/>
      <c r="D29" s="9"/>
      <c r="E29" s="9"/>
      <c r="F29" s="10"/>
    </row>
    <row r="30" spans="1:22">
      <c r="A30" s="29" t="str">
        <f>IF(C22="","Height not entered: total building height assumed to be " &amp; ROUND(IF(R16,U20,R20),1) &amp; IF(R16," m"," ft"),"")</f>
        <v/>
      </c>
      <c r="B30" s="12"/>
      <c r="C30" s="12"/>
      <c r="D30" s="12"/>
      <c r="E30" s="12"/>
      <c r="F30" s="13"/>
    </row>
    <row r="31" spans="1:22">
      <c r="A31" s="29" t="str">
        <f>IF(C23="","Number of floors not entered: single story building assumed","")</f>
        <v/>
      </c>
      <c r="B31" s="12"/>
      <c r="C31" s="12"/>
      <c r="D31" s="12"/>
      <c r="E31" s="12"/>
      <c r="F31" s="13"/>
    </row>
    <row r="32" spans="1:22" ht="15.75" thickBot="1">
      <c r="A32" s="30" t="str">
        <f>IF(C24="","Flow exponent not entered: n = 0.65 assumed","")</f>
        <v/>
      </c>
      <c r="B32" s="15"/>
      <c r="C32" s="15"/>
      <c r="D32" s="15"/>
      <c r="E32" s="15"/>
      <c r="F32" s="16"/>
    </row>
    <row r="34" spans="1:16" ht="30" customHeight="1">
      <c r="A34" s="51" t="s">
        <v>52</v>
      </c>
      <c r="B34" s="51"/>
      <c r="C34" s="51"/>
      <c r="D34" s="51"/>
      <c r="E34" s="51"/>
      <c r="F34" s="51"/>
      <c r="G34" s="51"/>
      <c r="H34" s="51"/>
      <c r="I34" s="51"/>
      <c r="J34" s="51"/>
      <c r="K34" s="51"/>
      <c r="L34" s="51"/>
      <c r="M34" s="51"/>
      <c r="N34" s="51"/>
      <c r="O34" s="51"/>
      <c r="P34" s="51"/>
    </row>
    <row r="36" spans="1:16">
      <c r="A36" s="60" t="s">
        <v>53</v>
      </c>
      <c r="B36" s="60"/>
      <c r="C36" s="60"/>
      <c r="D36" s="60"/>
      <c r="E36" s="60"/>
      <c r="F36" s="60"/>
      <c r="G36" s="60"/>
      <c r="H36" s="60"/>
      <c r="I36" s="60"/>
      <c r="J36" s="60"/>
      <c r="K36" s="60"/>
      <c r="L36" s="60"/>
      <c r="M36" s="60"/>
      <c r="N36" s="60"/>
      <c r="O36" s="60"/>
      <c r="P36" s="60"/>
    </row>
  </sheetData>
  <sheetProtection selectLockedCells="1"/>
  <mergeCells count="7">
    <mergeCell ref="A36:P36"/>
    <mergeCell ref="B1:N2"/>
    <mergeCell ref="A34:P34"/>
    <mergeCell ref="D26:H26"/>
    <mergeCell ref="A13:H13"/>
    <mergeCell ref="J13:P13"/>
    <mergeCell ref="A28:F28"/>
  </mergeCells>
  <conditionalFormatting sqref="C18:C21">
    <cfRule type="expression" dxfId="0" priority="1">
      <formula>D18=""</formula>
    </cfRule>
  </conditionalFormatting>
  <dataValidations disablePrompts="1" count="1">
    <dataValidation type="list" allowBlank="1" showInputMessage="1" showErrorMessage="1" sqref="D26:H26">
      <formula1>$K$14:$K$28</formula1>
    </dataValidation>
  </dataValidations>
  <pageMargins left="0.7" right="0.7" top="0.75" bottom="0.75" header="0.3" footer="0.3"/>
  <pageSetup scale="84" orientation="landscape" r:id="rId1"/>
  <drawing r:id="rId2"/>
  <legacyDrawing r:id="rId3"/>
</worksheet>
</file>

<file path=xl/worksheets/sheet2.xml><?xml version="1.0" encoding="utf-8"?>
<worksheet xmlns="http://schemas.openxmlformats.org/spreadsheetml/2006/main" xmlns:r="http://schemas.openxmlformats.org/officeDocument/2006/relationships">
  <dimension ref="A1:P21"/>
  <sheetViews>
    <sheetView zoomScale="80" zoomScaleNormal="80" workbookViewId="0">
      <selection activeCell="V3" sqref="V3"/>
    </sheetView>
  </sheetViews>
  <sheetFormatPr defaultRowHeight="15"/>
  <cols>
    <col min="1" max="16" width="14.28515625" style="1" customWidth="1"/>
    <col min="17" max="16384" width="9.140625" style="1"/>
  </cols>
  <sheetData>
    <row r="1" spans="1:16" ht="48.75" customHeight="1" thickTop="1" thickBot="1">
      <c r="A1" s="5" t="s">
        <v>13</v>
      </c>
      <c r="B1" s="4" t="s">
        <v>11</v>
      </c>
      <c r="C1" s="4" t="s">
        <v>9</v>
      </c>
      <c r="D1" s="4" t="s">
        <v>10</v>
      </c>
      <c r="E1" s="4" t="s">
        <v>17</v>
      </c>
      <c r="F1" s="4" t="s">
        <v>16</v>
      </c>
      <c r="G1" s="4" t="s">
        <v>18</v>
      </c>
      <c r="H1" s="4" t="s">
        <v>12</v>
      </c>
      <c r="I1" s="4" t="s">
        <v>19</v>
      </c>
      <c r="J1" s="4" t="s">
        <v>20</v>
      </c>
      <c r="K1" s="4" t="s">
        <v>21</v>
      </c>
      <c r="L1" s="4" t="s">
        <v>46</v>
      </c>
      <c r="M1" s="4" t="s">
        <v>27</v>
      </c>
      <c r="N1" s="4" t="s">
        <v>44</v>
      </c>
      <c r="O1" s="4" t="s">
        <v>45</v>
      </c>
      <c r="P1" s="4" t="s">
        <v>47</v>
      </c>
    </row>
    <row r="2" spans="1:16" ht="48.75" customHeight="1" thickTop="1" thickBot="1">
      <c r="A2" s="4" t="s">
        <v>11</v>
      </c>
      <c r="B2" s="35">
        <v>1</v>
      </c>
      <c r="C2" s="40">
        <f>(75/50)^$B$18</f>
        <v>1.2754245006257907</v>
      </c>
      <c r="D2" s="40">
        <f>(25/50)^$B$18</f>
        <v>0.6597539553864471</v>
      </c>
      <c r="E2" s="40">
        <f>(10/50)^$B$18*SQRT(1.204/(2*10))/0.61*0.7315199</f>
        <v>0.11202438104265328</v>
      </c>
      <c r="F2" s="40">
        <f>(4/50)^$B$18*SQRT(1.204/(2*4))*0.7315199</f>
        <v>6.2351712675588353E-2</v>
      </c>
      <c r="G2" s="40">
        <f>F2*100/$B$20</f>
        <v>2.9676870000670142E-2</v>
      </c>
      <c r="H2" s="40">
        <f>60/$B$21</f>
        <v>2.8557550765359256E-2</v>
      </c>
      <c r="I2" s="40">
        <f t="shared" ref="I2:J8" si="0">B2/$B$19</f>
        <v>1E-3</v>
      </c>
      <c r="J2" s="40">
        <f t="shared" si="0"/>
        <v>1.2754245006257909E-3</v>
      </c>
      <c r="K2" s="40">
        <f t="shared" ref="K2:K10" si="1">B2/$B$20</f>
        <v>4.7595917942265427E-3</v>
      </c>
      <c r="L2" s="40">
        <v>1.699011</v>
      </c>
      <c r="M2" s="40">
        <v>0.47194740000000002</v>
      </c>
      <c r="N2" s="40">
        <f>L2/($B$19*0.092903)</f>
        <v>1.828801007502449E-2</v>
      </c>
      <c r="O2" s="40">
        <f>M2/($B$19*0.092903)</f>
        <v>5.0800017222264087E-3</v>
      </c>
      <c r="P2" s="42">
        <f>L2*(75/50)^$B$18/($B$19*0.092903)</f>
        <v>2.3324976117377539E-2</v>
      </c>
    </row>
    <row r="3" spans="1:16" ht="48.75" customHeight="1" thickTop="1" thickBot="1">
      <c r="A3" s="4" t="s">
        <v>9</v>
      </c>
      <c r="B3" s="38">
        <f>1/C2</f>
        <v>0.78405268168311582</v>
      </c>
      <c r="C3" s="35">
        <v>1</v>
      </c>
      <c r="D3" s="40">
        <f>(25/75)^$B$18</f>
        <v>0.51728185797178661</v>
      </c>
      <c r="E3" s="40">
        <f>(10/75)^$B$18*SQRT(1.204/(2*10))/0.61*0.7315199</f>
        <v>8.7833016370383474E-2</v>
      </c>
      <c r="F3" s="40">
        <f>(4/75)^$B$18*SQRT(1.204/(2*4))*0.7315199</f>
        <v>4.8887027530830185E-2</v>
      </c>
      <c r="G3" s="40">
        <f>F3*100/$B$20</f>
        <v>2.3268229507986644E-2</v>
      </c>
      <c r="H3" s="40">
        <f>B3*60/$B$21</f>
        <v>2.2390624259881642E-2</v>
      </c>
      <c r="I3" s="40">
        <f t="shared" si="0"/>
        <v>7.8405268168311591E-4</v>
      </c>
      <c r="J3" s="40">
        <f t="shared" si="0"/>
        <v>1E-3</v>
      </c>
      <c r="K3" s="40">
        <f t="shared" si="1"/>
        <v>3.7317707099802739E-3</v>
      </c>
      <c r="L3" s="40">
        <f t="shared" ref="L3:L11" si="2">B3*$L$2</f>
        <v>1.3321141307591122</v>
      </c>
      <c r="M3" s="40">
        <f>B3*$M$2</f>
        <v>0.37003162458337413</v>
      </c>
      <c r="N3" s="40">
        <f t="shared" ref="N3:N12" si="3">L3/($B$19*0.092903)</f>
        <v>1.4338763341970791E-2</v>
      </c>
      <c r="O3" s="40">
        <f t="shared" ref="O3:O14" si="4">M3/($B$19*0.092903)</f>
        <v>3.9829889732664629E-3</v>
      </c>
      <c r="P3" s="42">
        <f t="shared" ref="P3:P15" si="5">L3*(75/50)^$B$18/($B$19*0.092903)</f>
        <v>1.828801007502449E-2</v>
      </c>
    </row>
    <row r="4" spans="1:16" ht="48.75" customHeight="1" thickTop="1" thickBot="1">
      <c r="A4" s="4" t="s">
        <v>10</v>
      </c>
      <c r="B4" s="38">
        <f>1/D2</f>
        <v>1.5157165665103982</v>
      </c>
      <c r="C4" s="38">
        <f>1/D3</f>
        <v>1.9331820449317625</v>
      </c>
      <c r="D4" s="35">
        <v>1</v>
      </c>
      <c r="E4" s="40">
        <f>(10/25)^$B$18*SQRT(1.204/(2*10))/0.61*0.7315199</f>
        <v>0.16979721019942295</v>
      </c>
      <c r="F4" s="40">
        <f>(4/25)^$B$18*SQRT(1.204/(2*4))*0.7315199</f>
        <v>9.450752385268564E-2</v>
      </c>
      <c r="G4" s="40">
        <f>F4*100/$B$20</f>
        <v>4.4981723502191179E-2</v>
      </c>
      <c r="H4" s="40">
        <f>B4*60/$B$21</f>
        <v>4.3285152794016728E-2</v>
      </c>
      <c r="I4" s="40">
        <f t="shared" si="0"/>
        <v>1.5157165665103983E-3</v>
      </c>
      <c r="J4" s="40">
        <f t="shared" si="0"/>
        <v>1.9331820449317626E-3</v>
      </c>
      <c r="K4" s="40">
        <f t="shared" si="1"/>
        <v>7.2141921323361216E-3</v>
      </c>
      <c r="L4" s="40">
        <f t="shared" si="2"/>
        <v>2.5752191193833984</v>
      </c>
      <c r="M4" s="40">
        <f>B4*$M$2</f>
        <v>0.71533849270150951</v>
      </c>
      <c r="N4" s="40">
        <f t="shared" si="3"/>
        <v>2.7719439839223693E-2</v>
      </c>
      <c r="O4" s="40">
        <f t="shared" si="4"/>
        <v>7.6998427682799216E-3</v>
      </c>
      <c r="P4" s="42">
        <f t="shared" si="5"/>
        <v>3.5354052714568526E-2</v>
      </c>
    </row>
    <row r="5" spans="1:16" ht="48.75" customHeight="1" thickTop="1" thickBot="1">
      <c r="A5" s="4" t="s">
        <v>17</v>
      </c>
      <c r="B5" s="38">
        <f>1/E2</f>
        <v>8.9266282097934564</v>
      </c>
      <c r="C5" s="38">
        <f>1/E3</f>
        <v>11.385240326747919</v>
      </c>
      <c r="D5" s="38">
        <f>1/E4</f>
        <v>5.889378269675472</v>
      </c>
      <c r="E5" s="35">
        <v>1</v>
      </c>
      <c r="F5" s="40">
        <f>F4/E4</f>
        <v>0.55659055729884321</v>
      </c>
      <c r="G5" s="40">
        <f>F5*100/$B$20</f>
        <v>0.26491438492635527</v>
      </c>
      <c r="H5" s="40">
        <f>B5*60/$B$21</f>
        <v>0.25492263826466466</v>
      </c>
      <c r="I5" s="40">
        <f t="shared" si="0"/>
        <v>8.9266282097934576E-3</v>
      </c>
      <c r="J5" s="40">
        <f t="shared" si="0"/>
        <v>1.138524032674792E-2</v>
      </c>
      <c r="K5" s="40">
        <f t="shared" si="1"/>
        <v>4.2487106377444107E-2</v>
      </c>
      <c r="L5" s="39">
        <f t="shared" si="2"/>
        <v>15.166439521349391</v>
      </c>
      <c r="M5" s="40">
        <f t="shared" ref="M5:M12" si="6">B5*$M$2</f>
        <v>4.2128989743786764</v>
      </c>
      <c r="N5" s="40">
        <f t="shared" si="3"/>
        <v>0.16325026663670056</v>
      </c>
      <c r="O5" s="40">
        <f t="shared" si="4"/>
        <v>4.5347286679425607E-2</v>
      </c>
      <c r="P5" s="42">
        <f t="shared" si="5"/>
        <v>0.20821338980214099</v>
      </c>
    </row>
    <row r="6" spans="1:16" ht="48.75" customHeight="1" thickTop="1" thickBot="1">
      <c r="A6" s="4" t="s">
        <v>16</v>
      </c>
      <c r="B6" s="38">
        <f>1/F2</f>
        <v>16.038051836730304</v>
      </c>
      <c r="C6" s="38">
        <f>1/F3</f>
        <v>20.455324254872288</v>
      </c>
      <c r="D6" s="38">
        <f>1/F4</f>
        <v>10.581168135975693</v>
      </c>
      <c r="E6" s="39">
        <f>1/F5</f>
        <v>1.7966528301397009</v>
      </c>
      <c r="F6" s="35">
        <v>1</v>
      </c>
      <c r="G6" s="39">
        <f>F6*100/$B$20</f>
        <v>0.47595917942265431</v>
      </c>
      <c r="H6" s="39">
        <f>B6*60/$B$21</f>
        <v>0.45800747950488896</v>
      </c>
      <c r="I6" s="39">
        <f t="shared" si="0"/>
        <v>1.6038051836730304E-2</v>
      </c>
      <c r="J6" s="39">
        <f t="shared" si="0"/>
        <v>2.045532425487229E-2</v>
      </c>
      <c r="K6" s="39">
        <f t="shared" si="1"/>
        <v>7.6334579917481493E-2</v>
      </c>
      <c r="L6" s="39">
        <f t="shared" si="2"/>
        <v>27.248826489174991</v>
      </c>
      <c r="M6" s="39">
        <f t="shared" si="6"/>
        <v>7.5691168654100913</v>
      </c>
      <c r="N6" s="40">
        <f t="shared" si="3"/>
        <v>0.29330405357388883</v>
      </c>
      <c r="O6" s="40">
        <f t="shared" si="4"/>
        <v>8.1473330951746359E-2</v>
      </c>
      <c r="P6" s="42">
        <f t="shared" si="5"/>
        <v>0.37408717606099728</v>
      </c>
    </row>
    <row r="7" spans="1:16" ht="48.75" customHeight="1" thickTop="1" thickBot="1">
      <c r="A7" s="4" t="s">
        <v>18</v>
      </c>
      <c r="B7" s="36">
        <f>1/G2</f>
        <v>33.696275920520549</v>
      </c>
      <c r="C7" s="36">
        <f>1/G3</f>
        <v>42.977055888878766</v>
      </c>
      <c r="D7" s="36">
        <f>1/G4</f>
        <v>22.231251320356531</v>
      </c>
      <c r="E7" s="36">
        <f>1/G5</f>
        <v>3.7748044534387759</v>
      </c>
      <c r="F7" s="36">
        <f>1/G6</f>
        <v>2.1010205144336433</v>
      </c>
      <c r="G7" s="35">
        <v>1</v>
      </c>
      <c r="H7" s="37">
        <f>B7*60/$B$21</f>
        <v>0.96228311020381829</v>
      </c>
      <c r="I7" s="37">
        <f t="shared" si="0"/>
        <v>3.3696275920520553E-2</v>
      </c>
      <c r="J7" s="37">
        <f t="shared" si="0"/>
        <v>4.2977055888878769E-2</v>
      </c>
      <c r="K7" s="37">
        <f t="shared" si="1"/>
        <v>0.16038051836730305</v>
      </c>
      <c r="L7" s="36">
        <f t="shared" si="2"/>
        <v>57.250343447999541</v>
      </c>
      <c r="M7" s="36">
        <f t="shared" si="6"/>
        <v>15.90286981037228</v>
      </c>
      <c r="N7" s="40">
        <f t="shared" si="3"/>
        <v>0.61623783352528494</v>
      </c>
      <c r="O7" s="40">
        <f t="shared" si="4"/>
        <v>0.17117713970886067</v>
      </c>
      <c r="P7" s="42">
        <f t="shared" si="5"/>
        <v>0.78596483109070558</v>
      </c>
    </row>
    <row r="8" spans="1:16" ht="48.75" customHeight="1" thickTop="1" thickBot="1">
      <c r="A8" s="4" t="s">
        <v>12</v>
      </c>
      <c r="B8" s="36">
        <f>1/H2</f>
        <v>35.01700857389406</v>
      </c>
      <c r="C8" s="36">
        <f>1/H3</f>
        <v>44.661550673767863</v>
      </c>
      <c r="D8" s="36">
        <f>1/H4</f>
        <v>23.102609912427738</v>
      </c>
      <c r="E8" s="36">
        <f>1/H5</f>
        <v>3.9227587114557649</v>
      </c>
      <c r="F8" s="36">
        <f>1/H6</f>
        <v>2.1833704573580563</v>
      </c>
      <c r="G8" s="39">
        <f>1/H7</f>
        <v>1.039195211259806</v>
      </c>
      <c r="H8" s="35">
        <v>1</v>
      </c>
      <c r="I8" s="39">
        <f t="shared" si="0"/>
        <v>3.5017008573894066E-2</v>
      </c>
      <c r="J8" s="39">
        <f t="shared" si="0"/>
        <v>4.4661550673767869E-2</v>
      </c>
      <c r="K8" s="39">
        <f t="shared" si="1"/>
        <v>0.16666666666666666</v>
      </c>
      <c r="L8" s="36">
        <f t="shared" si="2"/>
        <v>59.494282754140322</v>
      </c>
      <c r="M8" s="36">
        <f t="shared" si="6"/>
        <v>16.526186152227009</v>
      </c>
      <c r="N8" s="40">
        <f t="shared" si="3"/>
        <v>0.64039140559659347</v>
      </c>
      <c r="O8" s="40">
        <f t="shared" si="4"/>
        <v>0.17788646386259874</v>
      </c>
      <c r="P8" s="42">
        <f t="shared" si="5"/>
        <v>0.81677088868808345</v>
      </c>
    </row>
    <row r="9" spans="1:16" ht="48.75" customHeight="1" thickTop="1" thickBot="1">
      <c r="A9" s="4" t="s">
        <v>19</v>
      </c>
      <c r="B9" s="36">
        <f>1/I2</f>
        <v>1000</v>
      </c>
      <c r="C9" s="36">
        <f>1/I3</f>
        <v>1275.4245006257904</v>
      </c>
      <c r="D9" s="36">
        <f>1/I4</f>
        <v>659.75395538644705</v>
      </c>
      <c r="E9" s="36">
        <f>1/I5</f>
        <v>112.02438104265326</v>
      </c>
      <c r="F9" s="36">
        <f>1/I6</f>
        <v>62.351712675588352</v>
      </c>
      <c r="G9" s="38">
        <f>1/I7</f>
        <v>29.676870000670139</v>
      </c>
      <c r="H9" s="38">
        <f>1/I8</f>
        <v>28.557550765359252</v>
      </c>
      <c r="I9" s="35">
        <v>1</v>
      </c>
      <c r="J9" s="38">
        <f>C9/$B$19</f>
        <v>1.2754245006257905</v>
      </c>
      <c r="K9" s="38">
        <f t="shared" si="1"/>
        <v>4.7595917942265427</v>
      </c>
      <c r="L9" s="36">
        <f t="shared" si="2"/>
        <v>1699.011</v>
      </c>
      <c r="M9" s="36">
        <f t="shared" si="6"/>
        <v>471.94740000000002</v>
      </c>
      <c r="N9" s="40">
        <f t="shared" si="3"/>
        <v>18.288010075024488</v>
      </c>
      <c r="O9" s="40">
        <f t="shared" si="4"/>
        <v>5.0800017222264087</v>
      </c>
      <c r="P9" s="42">
        <f t="shared" si="5"/>
        <v>23.324976117377542</v>
      </c>
    </row>
    <row r="10" spans="1:16" ht="48.75" customHeight="1" thickTop="1" thickBot="1">
      <c r="A10" s="4" t="s">
        <v>20</v>
      </c>
      <c r="B10" s="36">
        <f>1/J2</f>
        <v>784.05268168311568</v>
      </c>
      <c r="C10" s="36">
        <f>1/J3</f>
        <v>1000</v>
      </c>
      <c r="D10" s="36">
        <f>1/J4</f>
        <v>517.28185797178662</v>
      </c>
      <c r="E10" s="36">
        <f>1/J5</f>
        <v>87.833016370383461</v>
      </c>
      <c r="F10" s="36">
        <f>1/J6</f>
        <v>48.887027530830181</v>
      </c>
      <c r="G10" s="39">
        <f>1/J7</f>
        <v>23.268229507986639</v>
      </c>
      <c r="H10" s="39">
        <f>1/J8</f>
        <v>22.390624259881641</v>
      </c>
      <c r="I10" s="39">
        <f>1/J9</f>
        <v>0.78405268168311593</v>
      </c>
      <c r="J10" s="35">
        <v>1</v>
      </c>
      <c r="K10" s="38">
        <f t="shared" si="1"/>
        <v>3.7317707099802733</v>
      </c>
      <c r="L10" s="36">
        <f t="shared" si="2"/>
        <v>1332.1141307591122</v>
      </c>
      <c r="M10" s="36">
        <f t="shared" si="6"/>
        <v>370.03162458337408</v>
      </c>
      <c r="N10" s="40">
        <f t="shared" si="3"/>
        <v>14.33876334197079</v>
      </c>
      <c r="O10" s="40">
        <f t="shared" si="4"/>
        <v>3.9829889732664618</v>
      </c>
      <c r="P10" s="42">
        <f t="shared" si="5"/>
        <v>18.288010075024488</v>
      </c>
    </row>
    <row r="11" spans="1:16" ht="48.75" customHeight="1" thickTop="1" thickBot="1">
      <c r="A11" s="4" t="s">
        <v>21</v>
      </c>
      <c r="B11" s="36">
        <f>1/K2</f>
        <v>210.10205144336436</v>
      </c>
      <c r="C11" s="36">
        <f>1/K3</f>
        <v>267.96930404260718</v>
      </c>
      <c r="D11" s="36">
        <f>1/K4</f>
        <v>138.61565947456643</v>
      </c>
      <c r="E11" s="36">
        <f>1/K5</f>
        <v>23.536552268734592</v>
      </c>
      <c r="F11" s="36">
        <f>1/K6</f>
        <v>13.100222744148338</v>
      </c>
      <c r="G11" s="39">
        <f>1/K7</f>
        <v>6.2351712675588349</v>
      </c>
      <c r="H11" s="39">
        <f>1/K8</f>
        <v>6</v>
      </c>
      <c r="I11" s="39">
        <f>1/K9</f>
        <v>0.21010205144336438</v>
      </c>
      <c r="J11" s="39">
        <f>1/K10</f>
        <v>0.26796930404260721</v>
      </c>
      <c r="K11" s="35">
        <v>1</v>
      </c>
      <c r="L11" s="36">
        <f t="shared" si="2"/>
        <v>356.96569652484192</v>
      </c>
      <c r="M11" s="36">
        <f t="shared" si="6"/>
        <v>99.15711691336206</v>
      </c>
      <c r="N11" s="40">
        <f t="shared" si="3"/>
        <v>3.842348433579561</v>
      </c>
      <c r="O11" s="40">
        <f t="shared" si="4"/>
        <v>1.0673187831755926</v>
      </c>
      <c r="P11" s="42">
        <f t="shared" si="5"/>
        <v>4.9006253321285005</v>
      </c>
    </row>
    <row r="12" spans="1:16" ht="48.75" customHeight="1" thickTop="1" thickBot="1">
      <c r="A12" s="4" t="s">
        <v>46</v>
      </c>
      <c r="B12" s="41">
        <f>1/L2</f>
        <v>0.58857770785474606</v>
      </c>
      <c r="C12" s="41">
        <f>1/L3</f>
        <v>0.75068642912011208</v>
      </c>
      <c r="D12" s="41">
        <f>1/L4</f>
        <v>0.38831647080945741</v>
      </c>
      <c r="E12" s="41">
        <f>1/L5</f>
        <v>6.593505341793153E-2</v>
      </c>
      <c r="F12" s="41">
        <f>1/L6</f>
        <v>3.6698828127415511E-2</v>
      </c>
      <c r="G12" s="41">
        <f>1/L7</f>
        <v>1.7467144121297708E-2</v>
      </c>
      <c r="H12" s="41">
        <f>1/L8</f>
        <v>1.6808337771420701E-2</v>
      </c>
      <c r="I12" s="41">
        <f>1/L9</f>
        <v>5.8857770785474613E-4</v>
      </c>
      <c r="J12" s="41">
        <f>1/L10</f>
        <v>7.5068642912011214E-4</v>
      </c>
      <c r="K12" s="41">
        <f>1/L11</f>
        <v>2.801389628570117E-3</v>
      </c>
      <c r="L12" s="35">
        <v>1</v>
      </c>
      <c r="M12" s="39">
        <f t="shared" si="6"/>
        <v>0.27777771892000697</v>
      </c>
      <c r="N12" s="40">
        <f t="shared" si="3"/>
        <v>1.0763915051182417E-2</v>
      </c>
      <c r="O12" s="40">
        <f t="shared" si="4"/>
        <v>2.9899757695661818E-3</v>
      </c>
      <c r="P12" s="42">
        <f t="shared" si="5"/>
        <v>1.3728560978932767E-2</v>
      </c>
    </row>
    <row r="13" spans="1:16" ht="48.75" customHeight="1" thickTop="1" thickBot="1">
      <c r="A13" s="4" t="s">
        <v>27</v>
      </c>
      <c r="B13" s="41">
        <f>1/M2</f>
        <v>2.1188801972423197</v>
      </c>
      <c r="C13" s="41">
        <f>1/M3</f>
        <v>2.7024717174536628</v>
      </c>
      <c r="D13" s="41">
        <f>1/M4</f>
        <v>1.3979395911206356</v>
      </c>
      <c r="E13" s="41">
        <f>1/M5</f>
        <v>0.23736624259960595</v>
      </c>
      <c r="F13" s="41">
        <f>1/M6</f>
        <v>0.13211580925244712</v>
      </c>
      <c r="G13" s="41">
        <f>1/M7</f>
        <v>6.2881732160554635E-2</v>
      </c>
      <c r="H13" s="41">
        <f>1/M8</f>
        <v>6.0510028798461984E-2</v>
      </c>
      <c r="I13" s="41">
        <f>1/M9</f>
        <v>2.1188801972423198E-3</v>
      </c>
      <c r="J13" s="41">
        <f>1/M10</f>
        <v>2.702471717453663E-3</v>
      </c>
      <c r="K13" s="41">
        <f>1/M11</f>
        <v>1.0085004799743663E-2</v>
      </c>
      <c r="L13" s="38">
        <f>1/M12</f>
        <v>3.6000007627968715</v>
      </c>
      <c r="M13" s="35">
        <v>1</v>
      </c>
      <c r="N13" s="40">
        <f>L13/($B$19*0.092903)</f>
        <v>3.8750102394937425E-2</v>
      </c>
      <c r="O13" s="40">
        <f t="shared" si="4"/>
        <v>1.0763915051182417E-2</v>
      </c>
      <c r="P13" s="42">
        <f t="shared" si="5"/>
        <v>4.9422829996261325E-2</v>
      </c>
    </row>
    <row r="14" spans="1:16" ht="48.75" customHeight="1" thickTop="1" thickBot="1">
      <c r="A14" s="4" t="s">
        <v>44</v>
      </c>
      <c r="B14" s="36">
        <f>1/N2</f>
        <v>54.680634792829466</v>
      </c>
      <c r="C14" s="36">
        <f>1/N3</f>
        <v>69.741021324545756</v>
      </c>
      <c r="D14" s="36">
        <f>1/N4</f>
        <v>36.075765087611018</v>
      </c>
      <c r="E14" s="36">
        <f>1/N5</f>
        <v>6.1255642676860926</v>
      </c>
      <c r="F14" s="36">
        <f>1/N6</f>
        <v>3.409431229521283</v>
      </c>
      <c r="G14" s="39">
        <f>1/N7</f>
        <v>1.6227500903009209</v>
      </c>
      <c r="H14" s="39">
        <f>1/N8</f>
        <v>1.5615450039782974</v>
      </c>
      <c r="I14" s="39">
        <f>1/N9</f>
        <v>5.4680634792829474E-2</v>
      </c>
      <c r="J14" s="39">
        <f>1/N10</f>
        <v>6.9741021324545766E-2</v>
      </c>
      <c r="K14" s="39">
        <f>1/N11</f>
        <v>0.26025750066304953</v>
      </c>
      <c r="L14" s="36">
        <f>1/N12</f>
        <v>92.902999999999992</v>
      </c>
      <c r="M14" s="36">
        <f>1/N13</f>
        <v>25.806383420825405</v>
      </c>
      <c r="N14" s="35">
        <v>1</v>
      </c>
      <c r="O14" s="40">
        <f t="shared" si="4"/>
        <v>0.27777771892000697</v>
      </c>
      <c r="P14" s="42">
        <f t="shared" si="5"/>
        <v>1.2754245006257907</v>
      </c>
    </row>
    <row r="15" spans="1:16" ht="48.75" customHeight="1" thickTop="1" thickBot="1">
      <c r="A15" s="4" t="s">
        <v>28</v>
      </c>
      <c r="B15" s="36">
        <f>1/O2</f>
        <v>196.85032696440322</v>
      </c>
      <c r="C15" s="36">
        <f>1/O3</f>
        <v>251.06772996659757</v>
      </c>
      <c r="D15" s="36">
        <f>1/O4</f>
        <v>129.8727818338804</v>
      </c>
      <c r="E15" s="36">
        <f>1/O5</f>
        <v>22.052036036231186</v>
      </c>
      <c r="F15" s="36">
        <f>1/O6</f>
        <v>12.273955026980092</v>
      </c>
      <c r="G15" s="39">
        <f>1/O7</f>
        <v>5.8419015629120059</v>
      </c>
      <c r="H15" s="39">
        <f>1/O8</f>
        <v>5.6215632054635138</v>
      </c>
      <c r="I15" s="39">
        <f>1/O9</f>
        <v>0.19685032696440322</v>
      </c>
      <c r="J15" s="39">
        <f>1/O10</f>
        <v>0.25106772996659765</v>
      </c>
      <c r="K15" s="39">
        <f>1/O11</f>
        <v>0.93692720091058546</v>
      </c>
      <c r="L15" s="36">
        <f>1/O12</f>
        <v>334.45087086611773</v>
      </c>
      <c r="M15" s="36">
        <f>1/O13</f>
        <v>92.902999999999992</v>
      </c>
      <c r="N15" s="38">
        <f>1/O14</f>
        <v>3.6000007627968715</v>
      </c>
      <c r="O15" s="35">
        <v>1</v>
      </c>
      <c r="P15" s="42">
        <f t="shared" si="5"/>
        <v>4.5915291751426652</v>
      </c>
    </row>
    <row r="16" spans="1:16" ht="48.75" customHeight="1" thickTop="1" thickBot="1">
      <c r="A16" s="4" t="s">
        <v>47</v>
      </c>
      <c r="B16" s="36">
        <f>1/P2</f>
        <v>42.872498345453032</v>
      </c>
      <c r="C16" s="36">
        <f>1/P3</f>
        <v>54.680634792829466</v>
      </c>
      <c r="D16" s="36">
        <f>1/P4</f>
        <v>28.285300360711542</v>
      </c>
      <c r="E16" s="36">
        <f>1/P5</f>
        <v>4.802765090901552</v>
      </c>
      <c r="F16" s="36">
        <f>1/P6</f>
        <v>2.6731736985203249</v>
      </c>
      <c r="G16" s="39">
        <f>1/P7</f>
        <v>1.2723215600019555</v>
      </c>
      <c r="H16" s="39">
        <f>1/P8</f>
        <v>1.2243335479380557</v>
      </c>
      <c r="I16" s="39">
        <f>1/P9</f>
        <v>4.2872498345453022E-2</v>
      </c>
      <c r="J16" s="39">
        <f>1/P10</f>
        <v>5.4680634792829474E-2</v>
      </c>
      <c r="K16" s="39">
        <f>1/P11</f>
        <v>0.20405559132300929</v>
      </c>
      <c r="L16" s="36">
        <f>1/P12</f>
        <v>72.840846286406503</v>
      </c>
      <c r="M16" s="36">
        <f>1/P13</f>
        <v>20.233564125640857</v>
      </c>
      <c r="N16" s="38">
        <f>1/P14</f>
        <v>0.78405268168311582</v>
      </c>
      <c r="O16" s="43">
        <f>1/P15</f>
        <v>0.21779236543105024</v>
      </c>
      <c r="P16" s="44">
        <v>1</v>
      </c>
    </row>
    <row r="17" spans="1:4" ht="15.75" thickTop="1"/>
    <row r="18" spans="1:4">
      <c r="A18" s="2" t="s">
        <v>0</v>
      </c>
      <c r="B18" s="3">
        <f>IF('Main page'!$C$24="",0.65,'Main page'!$C$24)</f>
        <v>0.6</v>
      </c>
      <c r="C18" s="6"/>
      <c r="D18" s="6"/>
    </row>
    <row r="19" spans="1:4" ht="17.25">
      <c r="A19" s="2" t="s">
        <v>14</v>
      </c>
      <c r="B19" s="3">
        <f>'Main page'!$R$23</f>
        <v>999.99999999999989</v>
      </c>
      <c r="C19" s="1" t="s">
        <v>49</v>
      </c>
    </row>
    <row r="20" spans="1:4" ht="17.25">
      <c r="A20" s="2" t="s">
        <v>15</v>
      </c>
      <c r="B20" s="3">
        <f>'Main page'!$R$24</f>
        <v>210.10205144336436</v>
      </c>
      <c r="C20" s="1" t="s">
        <v>49</v>
      </c>
    </row>
    <row r="21" spans="1:4" ht="17.25">
      <c r="A21" s="2" t="s">
        <v>7</v>
      </c>
      <c r="B21" s="8">
        <f>'Main page'!$R$22</f>
        <v>2101.0205144336437</v>
      </c>
      <c r="C21" s="1"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 page</vt:lpstr>
      <vt:lpstr>Conversion factors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Denali Jones</dc:creator>
  <cp:lastModifiedBy>ctremblay</cp:lastModifiedBy>
  <cp:lastPrinted>2013-04-19T18:53:41Z</cp:lastPrinted>
  <dcterms:created xsi:type="dcterms:W3CDTF">2012-04-16T20:25:46Z</dcterms:created>
  <dcterms:modified xsi:type="dcterms:W3CDTF">2013-04-19T18:56:12Z</dcterms:modified>
</cp:coreProperties>
</file>